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DPL " sheetId="1" r:id="rId4"/>
    <sheet state="visible" name="Govind" sheetId="2" r:id="rId5"/>
    <sheet state="visible" name="Parag" sheetId="3" r:id="rId6"/>
    <sheet state="visible" name="ALL DP" sheetId="4" r:id="rId7"/>
    <sheet state="hidden" name="Sheet1" sheetId="5" r:id="rId8"/>
  </sheets>
  <definedNames>
    <definedName name="N">Parag!#REF!</definedName>
  </definedNames>
  <calcPr/>
  <extLst>
    <ext uri="GoogleSheetsCustomDataVersion2">
      <go:sheetsCustomData xmlns:go="http://customooxmlschemas.google.com/" r:id="rId9" roundtripDataChecksum="JMrCYurqmpKwUAJc+BCH7iv+TrrK1d13tayCb1eoZ+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B45">
      <text>
        <t xml:space="preserve">======
ID#AAABnWIly50
INRANULO425    (2025-07-14 11:35:01)
aw nos in actual</t>
      </text>
    </comment>
    <comment authorId="0" ref="BB42">
      <text>
        <t xml:space="preserve">======
ID#AAABnWIly5w
INRANULO425    (2025-07-14 11:35:01)
we nos actual if %</t>
      </text>
    </comment>
    <comment authorId="0" ref="BB40">
      <text>
        <t xml:space="preserve">======
ID#AAABnWIly5s
INRANULO425    (2025-07-14 11:35:01)
we in actal if nos</t>
      </text>
    </comment>
    <comment authorId="0" ref="BB15">
      <text>
        <t xml:space="preserve">======
ID#AAABnWIly5o
INRANULO425    (2025-07-14 11:35:01)
utilization % in actual</t>
      </text>
    </comment>
    <comment authorId="0" ref="BB12">
      <text>
        <t xml:space="preserve">======
ID#AAABnWIly5k
INRANULO425    (2025-07-14 11:35:01)
utilization vol</t>
      </text>
    </comment>
    <comment authorId="0" ref="BB29">
      <text>
        <t xml:space="preserve">======
ID#AAABnWIly5g
INRANULO425    (2025-07-14 11:35:01)
mq volume in actual</t>
      </text>
    </comment>
    <comment authorId="0" ref="BB32">
      <text>
        <t xml:space="preserve">======
ID#AAABnWIly5c
INRANULO425    (2025-07-14 11:35:01)
mq % actual</t>
      </text>
    </comment>
  </commentList>
  <extLst>
    <ext uri="GoogleSheetsCustomDataVersion2">
      <go:sheetsCustomData xmlns:go="http://customooxmlschemas.google.com/" r:id="rId1" roundtripDataSignature="AMtx7mhbQjoBwyjifm4ik1CZN8p69ebBXQ=="/>
    </ext>
  </extLst>
</comments>
</file>

<file path=xl/sharedStrings.xml><?xml version="1.0" encoding="utf-8"?>
<sst xmlns="http://schemas.openxmlformats.org/spreadsheetml/2006/main" count="1084" uniqueCount="174">
  <si>
    <r>
      <rPr>
        <rFont val="Calibri"/>
        <b/>
        <color rgb="FF00B050"/>
        <sz val="9.0"/>
      </rPr>
      <t>23%</t>
    </r>
    <r>
      <rPr>
        <rFont val="Calibri"/>
        <color theme="1"/>
        <sz val="9.0"/>
      </rPr>
      <t>- reported after adding Sulfa</t>
    </r>
  </si>
  <si>
    <t>Milk Tested (from LR till Aug'23)</t>
  </si>
  <si>
    <t>Milk Qualified (from LR)</t>
  </si>
  <si>
    <t>Qualified % (from LR)</t>
  </si>
  <si>
    <t>All values in Actual Liters</t>
  </si>
  <si>
    <t>Particular</t>
  </si>
  <si>
    <t>Jan'22</t>
  </si>
  <si>
    <t>Feb'22</t>
  </si>
  <si>
    <t>Mar'22</t>
  </si>
  <si>
    <t>Apr'22</t>
  </si>
  <si>
    <t>May'22</t>
  </si>
  <si>
    <t>Jun'22</t>
  </si>
  <si>
    <t>July'22</t>
  </si>
  <si>
    <t>Aug'22</t>
  </si>
  <si>
    <t>Sept'22</t>
  </si>
  <si>
    <t>Oct'22</t>
  </si>
  <si>
    <t>Nov'22</t>
  </si>
  <si>
    <t>Dec'22</t>
  </si>
  <si>
    <t>2022(Base)</t>
  </si>
  <si>
    <t>Jan'23</t>
  </si>
  <si>
    <t>Feb'23</t>
  </si>
  <si>
    <t>Mar'23</t>
  </si>
  <si>
    <t>Apr'23</t>
  </si>
  <si>
    <t>May'23</t>
  </si>
  <si>
    <t>Jun'23</t>
  </si>
  <si>
    <t>July'23</t>
  </si>
  <si>
    <t>Aug'23</t>
  </si>
  <si>
    <t>Sept'23</t>
  </si>
  <si>
    <t>Oct'23</t>
  </si>
  <si>
    <t>Nov'23</t>
  </si>
  <si>
    <t>Dec'23</t>
  </si>
  <si>
    <t>Jan'24</t>
  </si>
  <si>
    <t>Feb'24</t>
  </si>
  <si>
    <t>Mar'24</t>
  </si>
  <si>
    <t>Apr'24</t>
  </si>
  <si>
    <t>May'24</t>
  </si>
  <si>
    <t>Jun'24</t>
  </si>
  <si>
    <t>July'24</t>
  </si>
  <si>
    <t>Aug'24</t>
  </si>
  <si>
    <t>Sept'24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</si>
  <si>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</si>
  <si>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</si>
  <si>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</si>
  <si>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</si>
  <si>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</si>
  <si>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</si>
  <si>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</si>
  <si>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</si>
  <si>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</si>
  <si>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July'25</t>
  </si>
  <si>
    <t>Aug'25</t>
  </si>
  <si>
    <t>Sept'25</t>
  </si>
  <si>
    <t>Oct'25</t>
  </si>
  <si>
    <t>Nov'25</t>
  </si>
  <si>
    <t>Dec'25</t>
  </si>
  <si>
    <t>CY'2022</t>
  </si>
  <si>
    <t>CY'2023</t>
  </si>
  <si>
    <t>CY'2024</t>
  </si>
  <si>
    <t>CY'2025</t>
  </si>
  <si>
    <t>No. of Days</t>
  </si>
  <si>
    <t>KPI 1 Milk Quality</t>
  </si>
  <si>
    <t>Base^^</t>
  </si>
  <si>
    <t>Plan</t>
  </si>
  <si>
    <t>Actual</t>
  </si>
  <si>
    <t>No. of CBMCs</t>
  </si>
  <si>
    <t xml:space="preserve">Milk Volume </t>
  </si>
  <si>
    <t>Milk Volume (in Mn Kgs)</t>
  </si>
  <si>
    <t>Installed BMC Capacity per day</t>
  </si>
  <si>
    <t xml:space="preserve">Compliant Milk Vol </t>
  </si>
  <si>
    <t>Compliant Milk Vol (in Mn Kgs)</t>
  </si>
  <si>
    <t>till 2023</t>
  </si>
  <si>
    <t>Installed Capacity per CBMC</t>
  </si>
  <si>
    <t>Total Compliant Milk per day</t>
  </si>
  <si>
    <t>tll 10th Jul'24</t>
  </si>
  <si>
    <t>Milk Vol</t>
  </si>
  <si>
    <t>Milk Received - Plan Vol</t>
  </si>
  <si>
    <t xml:space="preserve">Compliant Milk % </t>
  </si>
  <si>
    <t>Milk Received - Actual Vol</t>
  </si>
  <si>
    <t>^^ Compliant% considered with Sulfa compliance after reduction of 20% in base% based on trial results</t>
  </si>
  <si>
    <t>Milk Received per day</t>
  </si>
  <si>
    <t>Milk Utilization % - PLAN</t>
  </si>
  <si>
    <t>Milk Utilization % - ACTUAL</t>
  </si>
  <si>
    <r>
      <rPr>
        <rFont val="Calibri"/>
        <color theme="1"/>
        <sz val="9.0"/>
      </rPr>
      <t xml:space="preserve">Milk Non Compliant - </t>
    </r>
    <r>
      <rPr>
        <rFont val="Calibri"/>
        <color rgb="FFC00000"/>
        <sz val="9.0"/>
      </rPr>
      <t>Beta</t>
    </r>
  </si>
  <si>
    <t>KPI 2 Milk Volume</t>
  </si>
  <si>
    <t>Base</t>
  </si>
  <si>
    <t>Milk Non Compliant - Beta %</t>
  </si>
  <si>
    <t>Installed Capacity per CBMC (in Litres)</t>
  </si>
  <si>
    <r>
      <rPr>
        <rFont val="Calibri"/>
        <color theme="1"/>
        <sz val="9.0"/>
      </rPr>
      <t xml:space="preserve">Milk Non Compliant - </t>
    </r>
    <r>
      <rPr>
        <rFont val="Calibri"/>
        <color rgb="FF1F3864"/>
        <sz val="9.0"/>
      </rPr>
      <t>Tetra</t>
    </r>
  </si>
  <si>
    <t>Milk Volume</t>
  </si>
  <si>
    <t>Milk Non Compliant - Tetra %</t>
  </si>
  <si>
    <t xml:space="preserve">Milk per day </t>
  </si>
  <si>
    <t>Milk per day (in Litres)</t>
  </si>
  <si>
    <r>
      <rPr>
        <rFont val="Calibri"/>
        <color theme="1"/>
        <sz val="9.0"/>
      </rPr>
      <t xml:space="preserve">Milk Non Compliant - </t>
    </r>
    <r>
      <rPr>
        <rFont val="Calibri"/>
        <color rgb="FF00B0F0"/>
        <sz val="9.0"/>
      </rPr>
      <t>Sulpha</t>
    </r>
  </si>
  <si>
    <t>BMC Cap Utilization %</t>
  </si>
  <si>
    <t>Milk Non Compliant - Sulpha %</t>
  </si>
  <si>
    <r>
      <rPr>
        <rFont val="Calibri"/>
        <color theme="1"/>
        <sz val="9.0"/>
      </rPr>
      <t xml:space="preserve">Milk Non Compliant - </t>
    </r>
    <r>
      <rPr>
        <rFont val="Calibri"/>
        <color theme="7"/>
        <sz val="9.0"/>
      </rPr>
      <t>CAP</t>
    </r>
  </si>
  <si>
    <t>Milk Non Compliant - CAP %</t>
  </si>
  <si>
    <r>
      <rPr>
        <rFont val="Calibri"/>
        <color theme="1"/>
        <sz val="9.0"/>
      </rPr>
      <t xml:space="preserve">Total Non Compliant - </t>
    </r>
    <r>
      <rPr>
        <rFont val="Calibri"/>
        <color rgb="FFFF0000"/>
        <sz val="9.0"/>
      </rPr>
      <t>AB</t>
    </r>
  </si>
  <si>
    <t>KPI 3 Women Empowerment</t>
  </si>
  <si>
    <t>Total Non Compliant - AB %</t>
  </si>
  <si>
    <t>Total Farmers</t>
  </si>
  <si>
    <r>
      <rPr>
        <rFont val="Calibri"/>
        <color theme="1"/>
        <sz val="9.0"/>
      </rPr>
      <t xml:space="preserve">Milk Non Compliant - </t>
    </r>
    <r>
      <rPr>
        <rFont val="Calibri"/>
        <color rgb="FF7030A0"/>
        <sz val="9.0"/>
      </rPr>
      <t>Aflatoxin</t>
    </r>
  </si>
  <si>
    <t>Total Women Farmers</t>
  </si>
  <si>
    <t>Milk Non Compliant - Aflatoxin %</t>
  </si>
  <si>
    <t>Women Farmers %</t>
  </si>
  <si>
    <t>Milk Quality</t>
  </si>
  <si>
    <t>Total Compliant Milk - PLAN</t>
  </si>
  <si>
    <t>Total Compliant Milk - ACTUAL</t>
  </si>
  <si>
    <t>Milk Compliant % - PLAN</t>
  </si>
  <si>
    <t>Milk Compliant % - ACTUAL</t>
  </si>
  <si>
    <t>Total Seggregated Milk</t>
  </si>
  <si>
    <t>KPI 4 Animal Welfare with 100% Quantification</t>
  </si>
  <si>
    <t>Seggregated Milk per BMC per day</t>
  </si>
  <si>
    <t xml:space="preserve">Total Farmers </t>
  </si>
  <si>
    <t>Seggregated %</t>
  </si>
  <si>
    <t>Functional AW Farms</t>
  </si>
  <si>
    <t>Total AW farms Reg.</t>
  </si>
  <si>
    <t>Eligible milk volume for QBI</t>
  </si>
  <si>
    <t>QBI %</t>
  </si>
  <si>
    <t>Functional %</t>
  </si>
  <si>
    <t>Women Emp</t>
  </si>
  <si>
    <t>Total Farmers - Plan</t>
  </si>
  <si>
    <t>Total Farmers - Actual</t>
  </si>
  <si>
    <t>Total Women Farmers - Actual</t>
  </si>
  <si>
    <t>Total Women Farmers - Plan</t>
  </si>
  <si>
    <t>Women Farmers % - Actual</t>
  </si>
  <si>
    <t>Women Farmers % - Plan</t>
  </si>
  <si>
    <t>AW FARM</t>
  </si>
  <si>
    <t>Total AW Farms Registered</t>
  </si>
  <si>
    <t>Functional AW Farm - Actual</t>
  </si>
  <si>
    <t>Functional AW Farm - Plan</t>
  </si>
  <si>
    <t>AW Farm Functional %</t>
  </si>
  <si>
    <t>AW Farm Functional % - Plan</t>
  </si>
  <si>
    <t>CF-Bag</t>
  </si>
  <si>
    <t>CF-MT</t>
  </si>
  <si>
    <t>RTU</t>
  </si>
  <si>
    <t>21%- reported adding sulfa</t>
  </si>
  <si>
    <t>Milk Tested (from LR till Jul'23)</t>
  </si>
  <si>
    <t>Particulars</t>
  </si>
  <si>
    <t>2020(base)</t>
  </si>
  <si>
    <t>Milk Non Compliant - Beta</t>
  </si>
  <si>
    <t>Milk Non Compliant - Tetra</t>
  </si>
  <si>
    <t>DP</t>
  </si>
  <si>
    <t>BMC Cap</t>
  </si>
  <si>
    <t>Utilization %</t>
  </si>
  <si>
    <t>Compliant %</t>
  </si>
  <si>
    <t>Compliant Vol</t>
  </si>
  <si>
    <t>Parag</t>
  </si>
  <si>
    <t>Milk Non Compliant - Sulpha</t>
  </si>
  <si>
    <t>Govind</t>
  </si>
  <si>
    <t>SD</t>
  </si>
  <si>
    <t>Milk Non Compliant - CAP</t>
  </si>
  <si>
    <t>Total Non Compliant - AB</t>
  </si>
  <si>
    <t>Milk Non Compliant - Aflatoxin</t>
  </si>
  <si>
    <t>Compliant Milk Vol - PLAN</t>
  </si>
  <si>
    <t>Compliant Milk Vol - ACTUAL</t>
  </si>
  <si>
    <t>KPI 4 Animal Welfare Farm</t>
  </si>
  <si>
    <t>Functional AW Farm</t>
  </si>
  <si>
    <t>AW Farm Functional % - Actual</t>
  </si>
  <si>
    <r>
      <rPr>
        <rFont val="Calibri"/>
        <b/>
        <color rgb="FF00B050"/>
        <sz val="8.0"/>
      </rPr>
      <t>75%</t>
    </r>
    <r>
      <rPr>
        <rFont val="Calibri"/>
        <color theme="1"/>
        <sz val="8.0"/>
      </rPr>
      <t>-reported adding sulfa</t>
    </r>
  </si>
  <si>
    <t>2020(Base)</t>
  </si>
  <si>
    <t>Total Installed Capacity per day</t>
  </si>
  <si>
    <t>KPI 4 Animal Welfare</t>
  </si>
  <si>
    <t xml:space="preserve">    </t>
  </si>
  <si>
    <r>
      <rPr>
        <rFont val="Calibri"/>
        <b/>
        <color rgb="FF00B050"/>
        <sz val="9.0"/>
      </rPr>
      <t>28%</t>
    </r>
    <r>
      <rPr>
        <rFont val="Calibri"/>
        <color theme="1"/>
        <sz val="9.0"/>
      </rPr>
      <t xml:space="preserve"> reported adding sulfa</t>
    </r>
  </si>
  <si>
    <r>
      <rPr>
        <rFont val="Calibri"/>
        <color theme="1"/>
        <sz val="9.0"/>
      </rPr>
      <t xml:space="preserve">Milk Non Compliant - </t>
    </r>
    <r>
      <rPr>
        <rFont val="Calibri"/>
        <color rgb="FFC00000"/>
        <sz val="9.0"/>
      </rPr>
      <t>Beta</t>
    </r>
  </si>
  <si>
    <r>
      <rPr>
        <rFont val="Calibri"/>
        <color theme="1"/>
        <sz val="9.0"/>
      </rPr>
      <t xml:space="preserve">Milk Non Compliant - </t>
    </r>
    <r>
      <rPr>
        <rFont val="Calibri"/>
        <color rgb="FF1F3864"/>
        <sz val="9.0"/>
      </rPr>
      <t>Tetra</t>
    </r>
  </si>
  <si>
    <r>
      <rPr>
        <rFont val="Calibri"/>
        <color theme="1"/>
        <sz val="9.0"/>
      </rPr>
      <t xml:space="preserve">Milk Non Compliant - </t>
    </r>
    <r>
      <rPr>
        <rFont val="Calibri"/>
        <color rgb="FF00B0F0"/>
        <sz val="9.0"/>
      </rPr>
      <t>Sulpha</t>
    </r>
  </si>
  <si>
    <r>
      <rPr>
        <rFont val="Calibri"/>
        <color theme="1"/>
        <sz val="9.0"/>
      </rPr>
      <t xml:space="preserve">Milk Non Compliant - </t>
    </r>
    <r>
      <rPr>
        <rFont val="Calibri"/>
        <color theme="7"/>
        <sz val="9.0"/>
      </rPr>
      <t>CAP</t>
    </r>
  </si>
  <si>
    <r>
      <rPr>
        <rFont val="Calibri"/>
        <color theme="1"/>
        <sz val="9.0"/>
      </rPr>
      <t xml:space="preserve">Total Non Compliant - </t>
    </r>
    <r>
      <rPr>
        <rFont val="Calibri"/>
        <color rgb="FFFF0000"/>
        <sz val="9.0"/>
      </rPr>
      <t>AB</t>
    </r>
  </si>
  <si>
    <r>
      <rPr>
        <rFont val="Calibri"/>
        <color theme="1"/>
        <sz val="9.0"/>
      </rPr>
      <t xml:space="preserve">Milk Non Compliant - </t>
    </r>
    <r>
      <rPr>
        <rFont val="Calibri"/>
        <color rgb="FF7030A0"/>
        <sz val="9.0"/>
      </rPr>
      <t>Aflatoxin</t>
    </r>
  </si>
  <si>
    <t>.</t>
  </si>
  <si>
    <t>MV Actual</t>
  </si>
  <si>
    <t>MQ 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</si>
</sst>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 * #,##0_ ;_ * \-#,##0_ ;_ * &quot;-&quot;??_ ;_ @_ "/>
    <numFmt numFmtId="165" formatCode="0.0%"/>
    <numFmt numFmtId="166" formatCode="0.000"/>
    <numFmt numFmtId="167" formatCode="0.0"/>
    <numFmt numFmtId="168" formatCode="0.000%"/>
  </numFmts>
  <fonts count="23">
    <font>
      <sz val="11.0"/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>
      <sz val="9.0"/>
      <color rgb="FF0070C0"/>
      <name val="Calibri"/>
    </font>
    <font/>
    <font>
      <b/>
      <sz val="9.0"/>
      <color theme="1"/>
      <name val="Calibri"/>
    </font>
    <font>
      <sz val="9.0"/>
      <color theme="0"/>
      <name val="Calibri"/>
    </font>
    <font>
      <sz val="9.0"/>
      <color rgb="FFFFFFFF"/>
      <name val="Calibri"/>
    </font>
    <font>
      <i/>
      <sz val="9.0"/>
      <color theme="1"/>
      <name val="Calibri"/>
    </font>
    <font>
      <b/>
      <sz val="9.0"/>
      <color rgb="FFFFFFFF"/>
      <name val="Calibri"/>
    </font>
    <font>
      <b/>
      <i/>
      <sz val="9.0"/>
      <color theme="1"/>
      <name val="Calibri"/>
    </font>
    <font>
      <b/>
      <sz val="8.0"/>
      <color theme="1"/>
      <name val="Calibri"/>
    </font>
    <font>
      <sz val="8.0"/>
      <color rgb="FFFFFFFF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8.0"/>
      <color theme="0"/>
      <name val="Calibri"/>
    </font>
    <font>
      <b/>
      <sz val="9.0"/>
      <color rgb="FF00B050"/>
      <name val="Calibri"/>
    </font>
    <font>
      <b/>
      <sz val="9.0"/>
      <color theme="0"/>
      <name val="Calibri"/>
    </font>
    <font>
      <b/>
      <sz val="11.0"/>
      <color theme="1"/>
      <name val="Calibri"/>
    </font>
    <font>
      <sz val="8.0"/>
      <color rgb="FF0070C0"/>
      <name val="Calibri"/>
    </font>
    <font>
      <b/>
      <sz val="8.0"/>
      <color theme="0"/>
      <name val="Calibri"/>
    </font>
    <font>
      <color theme="1"/>
      <name val="Calibri"/>
      <scheme val="minor"/>
    </font>
    <font>
      <sz val="12.0"/>
      <color theme="1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DEEAF6"/>
        <bgColor rgb="FFDEEAF6"/>
      </patternFill>
    </fill>
    <fill>
      <patternFill patternType="solid">
        <fgColor rgb="FF00B0F0"/>
        <bgColor rgb="FF00B0F0"/>
      </patternFill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rgb="FF89E0FF"/>
        <bgColor rgb="FF89E0FF"/>
      </patternFill>
    </fill>
    <fill>
      <patternFill patternType="solid">
        <fgColor rgb="FFF5B68B"/>
        <bgColor rgb="FFF5B68B"/>
      </patternFill>
    </fill>
    <fill>
      <patternFill patternType="solid">
        <fgColor rgb="FF2E75B5"/>
        <bgColor rgb="FF2E75B5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3399"/>
        <bgColor rgb="FFFF3399"/>
      </patternFill>
    </fill>
    <fill>
      <patternFill patternType="solid">
        <fgColor rgb="FFD8D8D8"/>
        <bgColor rgb="FFD8D8D8"/>
      </patternFill>
    </fill>
  </fills>
  <borders count="23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bottom/>
    </border>
    <border>
      <left/>
      <right style="thin">
        <color rgb="FF000000"/>
      </right>
      <top/>
    </border>
    <border>
      <left/>
      <right style="thin">
        <color rgb="FF000000"/>
      </right>
    </border>
    <border>
      <left/>
      <right style="thin">
        <color rgb="FF000000"/>
      </right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1" fillId="3" fontId="1" numFmtId="0" xfId="0" applyAlignment="1" applyBorder="1" applyFill="1" applyFont="1">
      <alignment shrinkToFit="0" wrapText="1"/>
    </xf>
    <xf borderId="0" fillId="0" fontId="1" numFmtId="1" xfId="0" applyAlignment="1" applyFont="1" applyNumberFormat="1">
      <alignment horizontal="center"/>
    </xf>
    <xf borderId="0" fillId="0" fontId="2" numFmtId="0" xfId="0" applyFont="1"/>
    <xf borderId="1" fillId="2" fontId="1" numFmtId="1" xfId="0" applyAlignment="1" applyBorder="1" applyFont="1" applyNumberFormat="1">
      <alignment horizontal="center"/>
    </xf>
    <xf borderId="2" fillId="4" fontId="3" numFmtId="0" xfId="0" applyBorder="1" applyFill="1" applyFont="1"/>
    <xf borderId="3" fillId="4" fontId="3" numFmtId="1" xfId="0" applyAlignment="1" applyBorder="1" applyFont="1" applyNumberFormat="1">
      <alignment horizontal="center"/>
    </xf>
    <xf borderId="3" fillId="5" fontId="3" numFmtId="1" xfId="0" applyAlignment="1" applyBorder="1" applyFill="1" applyFont="1" applyNumberFormat="1">
      <alignment horizontal="center"/>
    </xf>
    <xf borderId="3" fillId="5" fontId="1" numFmtId="1" xfId="0" applyAlignment="1" applyBorder="1" applyFont="1" applyNumberFormat="1">
      <alignment horizontal="center"/>
    </xf>
    <xf borderId="1" fillId="4" fontId="1" numFmtId="1" xfId="0" applyAlignment="1" applyBorder="1" applyFont="1" applyNumberFormat="1">
      <alignment horizontal="center"/>
    </xf>
    <xf borderId="4" fillId="4" fontId="3" numFmtId="0" xfId="0" applyBorder="1" applyFont="1"/>
    <xf borderId="1" fillId="4" fontId="3" numFmtId="1" xfId="0" applyAlignment="1" applyBorder="1" applyFont="1" applyNumberFormat="1">
      <alignment horizontal="center"/>
    </xf>
    <xf borderId="1" fillId="5" fontId="3" numFmtId="1" xfId="0" applyAlignment="1" applyBorder="1" applyFont="1" applyNumberFormat="1">
      <alignment horizontal="center"/>
    </xf>
    <xf borderId="1" fillId="5" fontId="1" numFmtId="1" xfId="0" applyAlignment="1" applyBorder="1" applyFont="1" applyNumberFormat="1">
      <alignment horizontal="center"/>
    </xf>
    <xf borderId="0" fillId="0" fontId="1" numFmtId="1" xfId="0" applyFont="1" applyNumberFormat="1"/>
    <xf borderId="5" fillId="4" fontId="3" numFmtId="0" xfId="0" applyBorder="1" applyFont="1"/>
    <xf borderId="6" fillId="4" fontId="3" numFmtId="9" xfId="0" applyAlignment="1" applyBorder="1" applyFont="1" applyNumberFormat="1">
      <alignment horizontal="center"/>
    </xf>
    <xf borderId="6" fillId="5" fontId="3" numFmtId="9" xfId="0" applyAlignment="1" applyBorder="1" applyFont="1" applyNumberFormat="1">
      <alignment horizontal="center"/>
    </xf>
    <xf borderId="7" fillId="6" fontId="1" numFmtId="0" xfId="0" applyAlignment="1" applyBorder="1" applyFill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1" fillId="4" fontId="1" numFmtId="1" xfId="0" applyAlignment="1" applyBorder="1" applyFont="1" applyNumberFormat="1">
      <alignment horizontal="left"/>
    </xf>
    <xf borderId="1" fillId="2" fontId="5" numFmtId="1" xfId="0" applyAlignment="1" applyBorder="1" applyFont="1" applyNumberFormat="1">
      <alignment horizontal="center"/>
    </xf>
    <xf borderId="10" fillId="7" fontId="5" numFmtId="1" xfId="0" applyAlignment="1" applyBorder="1" applyFill="1" applyFont="1" applyNumberFormat="1">
      <alignment horizontal="left"/>
    </xf>
    <xf borderId="10" fillId="7" fontId="5" numFmtId="1" xfId="0" applyAlignment="1" applyBorder="1" applyFont="1" applyNumberFormat="1">
      <alignment horizontal="center"/>
    </xf>
    <xf borderId="11" fillId="5" fontId="5" numFmtId="1" xfId="0" applyAlignment="1" applyBorder="1" applyFont="1" applyNumberFormat="1">
      <alignment horizontal="center"/>
    </xf>
    <xf borderId="12" fillId="7" fontId="5" numFmtId="1" xfId="0" applyAlignment="1" applyBorder="1" applyFont="1" applyNumberFormat="1">
      <alignment horizontal="center"/>
    </xf>
    <xf borderId="10" fillId="8" fontId="5" numFmtId="1" xfId="0" applyAlignment="1" applyBorder="1" applyFill="1" applyFont="1" applyNumberFormat="1">
      <alignment horizontal="center"/>
    </xf>
    <xf borderId="10" fillId="5" fontId="5" numFmtId="1" xfId="0" applyAlignment="1" applyBorder="1" applyFont="1" applyNumberFormat="1">
      <alignment horizontal="center"/>
    </xf>
    <xf borderId="10" fillId="9" fontId="5" numFmtId="1" xfId="0" applyAlignment="1" applyBorder="1" applyFill="1" applyFont="1" applyNumberFormat="1">
      <alignment horizontal="center"/>
    </xf>
    <xf borderId="12" fillId="9" fontId="5" numFmtId="1" xfId="0" applyAlignment="1" applyBorder="1" applyFont="1" applyNumberFormat="1">
      <alignment horizontal="center"/>
    </xf>
    <xf borderId="10" fillId="0" fontId="5" numFmtId="1" xfId="0" applyAlignment="1" applyBorder="1" applyFont="1" applyNumberFormat="1">
      <alignment horizontal="center"/>
    </xf>
    <xf borderId="7" fillId="0" fontId="5" numFmtId="1" xfId="0" applyAlignment="1" applyBorder="1" applyFont="1" applyNumberFormat="1">
      <alignment horizontal="center"/>
    </xf>
    <xf borderId="0" fillId="0" fontId="5" numFmtId="0" xfId="0" applyFont="1"/>
    <xf borderId="10" fillId="4" fontId="1" numFmtId="1" xfId="0" applyAlignment="1" applyBorder="1" applyFont="1" applyNumberFormat="1">
      <alignment horizontal="left"/>
    </xf>
    <xf borderId="10" fillId="4" fontId="1" numFmtId="1" xfId="0" applyAlignment="1" applyBorder="1" applyFont="1" applyNumberFormat="1">
      <alignment horizontal="center"/>
    </xf>
    <xf borderId="12" fillId="4" fontId="1" numFmtId="1" xfId="0" applyAlignment="1" applyBorder="1" applyFont="1" applyNumberFormat="1">
      <alignment horizontal="center"/>
    </xf>
    <xf borderId="10" fillId="5" fontId="1" numFmtId="1" xfId="0" applyAlignment="1" applyBorder="1" applyFont="1" applyNumberFormat="1">
      <alignment horizontal="center"/>
    </xf>
    <xf borderId="13" fillId="4" fontId="1" numFmtId="1" xfId="0" applyAlignment="1" applyBorder="1" applyFont="1" applyNumberFormat="1">
      <alignment horizontal="center"/>
    </xf>
    <xf borderId="10" fillId="0" fontId="1" numFmtId="1" xfId="0" applyAlignment="1" applyBorder="1" applyFont="1" applyNumberFormat="1">
      <alignment horizontal="center"/>
    </xf>
    <xf borderId="10" fillId="10" fontId="5" numFmtId="1" xfId="0" applyAlignment="1" applyBorder="1" applyFill="1" applyFont="1" applyNumberFormat="1">
      <alignment horizontal="center"/>
    </xf>
    <xf borderId="10" fillId="11" fontId="5" numFmtId="1" xfId="0" applyAlignment="1" applyBorder="1" applyFill="1" applyFont="1" applyNumberFormat="1">
      <alignment horizontal="center"/>
    </xf>
    <xf borderId="10" fillId="12" fontId="1" numFmtId="1" xfId="0" applyAlignment="1" applyBorder="1" applyFill="1" applyFont="1" applyNumberFormat="1">
      <alignment horizontal="center"/>
    </xf>
    <xf borderId="10" fillId="11" fontId="1" numFmtId="1" xfId="0" applyAlignment="1" applyBorder="1" applyFont="1" applyNumberFormat="1">
      <alignment horizontal="center"/>
    </xf>
    <xf borderId="10" fillId="0" fontId="1" numFmtId="1" xfId="0" applyAlignment="1" applyBorder="1" applyFont="1" applyNumberFormat="1">
      <alignment horizontal="left"/>
    </xf>
    <xf borderId="14" fillId="8" fontId="5" numFmtId="1" xfId="0" applyAlignment="1" applyBorder="1" applyFont="1" applyNumberFormat="1">
      <alignment horizontal="center" textRotation="90" vertical="center"/>
    </xf>
    <xf borderId="10" fillId="13" fontId="6" numFmtId="1" xfId="0" applyAlignment="1" applyBorder="1" applyFill="1" applyFont="1" applyNumberFormat="1">
      <alignment horizontal="left"/>
    </xf>
    <xf borderId="10" fillId="14" fontId="7" numFmtId="1" xfId="0" applyAlignment="1" applyBorder="1" applyFill="1" applyFont="1" applyNumberFormat="1">
      <alignment horizontal="center"/>
    </xf>
    <xf borderId="12" fillId="14" fontId="7" numFmtId="1" xfId="0" applyAlignment="1" applyBorder="1" applyFont="1" applyNumberFormat="1">
      <alignment horizontal="center"/>
    </xf>
    <xf borderId="10" fillId="15" fontId="5" numFmtId="1" xfId="0" applyAlignment="1" applyBorder="1" applyFill="1" applyFont="1" applyNumberFormat="1">
      <alignment horizontal="left"/>
    </xf>
    <xf borderId="10" fillId="16" fontId="5" numFmtId="9" xfId="0" applyAlignment="1" applyBorder="1" applyFill="1" applyFont="1" applyNumberFormat="1">
      <alignment horizontal="center"/>
    </xf>
    <xf borderId="10" fillId="15" fontId="5" numFmtId="9" xfId="0" applyAlignment="1" applyBorder="1" applyFont="1" applyNumberFormat="1">
      <alignment horizontal="center"/>
    </xf>
    <xf borderId="15" fillId="0" fontId="4" numFmtId="0" xfId="0" applyBorder="1" applyFont="1"/>
    <xf borderId="10" fillId="15" fontId="1" numFmtId="1" xfId="0" applyAlignment="1" applyBorder="1" applyFont="1" applyNumberFormat="1">
      <alignment horizontal="left"/>
    </xf>
    <xf borderId="10" fillId="15" fontId="1" numFmtId="1" xfId="0" applyAlignment="1" applyBorder="1" applyFont="1" applyNumberFormat="1">
      <alignment horizontal="center"/>
    </xf>
    <xf borderId="11" fillId="15" fontId="1" numFmtId="1" xfId="0" applyAlignment="1" applyBorder="1" applyFont="1" applyNumberFormat="1">
      <alignment horizontal="center"/>
    </xf>
    <xf borderId="12" fillId="15" fontId="1" numFmtId="1" xfId="0" applyAlignment="1" applyBorder="1" applyFont="1" applyNumberFormat="1">
      <alignment horizontal="center"/>
    </xf>
    <xf borderId="10" fillId="15" fontId="1" numFmtId="2" xfId="0" applyAlignment="1" applyBorder="1" applyFont="1" applyNumberFormat="1">
      <alignment horizontal="center"/>
    </xf>
    <xf borderId="10" fillId="0" fontId="8" numFmtId="1" xfId="0" applyAlignment="1" applyBorder="1" applyFont="1" applyNumberFormat="1">
      <alignment horizontal="left"/>
    </xf>
    <xf borderId="10" fillId="14" fontId="9" numFmtId="1" xfId="0" applyAlignment="1" applyBorder="1" applyFont="1" applyNumberFormat="1">
      <alignment horizontal="left"/>
    </xf>
    <xf borderId="10" fillId="14" fontId="9" numFmtId="1" xfId="0" applyAlignment="1" applyBorder="1" applyFont="1" applyNumberFormat="1">
      <alignment horizontal="center"/>
    </xf>
    <xf borderId="16" fillId="14" fontId="9" numFmtId="1" xfId="0" applyAlignment="1" applyBorder="1" applyFont="1" applyNumberFormat="1">
      <alignment horizontal="center"/>
    </xf>
    <xf borderId="10" fillId="14" fontId="9" numFmtId="9" xfId="0" applyAlignment="1" applyBorder="1" applyFont="1" applyNumberFormat="1">
      <alignment horizontal="center"/>
    </xf>
    <xf borderId="12" fillId="14" fontId="9" numFmtId="9" xfId="0" applyAlignment="1" applyBorder="1" applyFont="1" applyNumberFormat="1">
      <alignment horizontal="center"/>
    </xf>
    <xf borderId="0" fillId="0" fontId="1" numFmtId="9" xfId="0" applyFont="1" applyNumberFormat="1"/>
    <xf borderId="17" fillId="0" fontId="4" numFmtId="0" xfId="0" applyBorder="1" applyFont="1"/>
    <xf borderId="10" fillId="15" fontId="5" numFmtId="164" xfId="0" applyBorder="1" applyFont="1" applyNumberFormat="1"/>
    <xf borderId="12" fillId="15" fontId="5" numFmtId="9" xfId="0" applyAlignment="1" applyBorder="1" applyFont="1" applyNumberFormat="1">
      <alignment horizontal="center"/>
    </xf>
    <xf borderId="10" fillId="0" fontId="10" numFmtId="1" xfId="0" applyAlignment="1" applyBorder="1" applyFont="1" applyNumberFormat="1">
      <alignment horizontal="left"/>
    </xf>
    <xf borderId="10" fillId="0" fontId="5" numFmtId="0" xfId="0" applyBorder="1" applyFont="1"/>
    <xf borderId="9" fillId="0" fontId="5" numFmtId="1" xfId="0" applyAlignment="1" applyBorder="1" applyFont="1" applyNumberFormat="1">
      <alignment horizontal="center"/>
    </xf>
    <xf borderId="10" fillId="3" fontId="1" numFmtId="1" xfId="0" applyAlignment="1" applyBorder="1" applyFont="1" applyNumberFormat="1">
      <alignment horizontal="center"/>
    </xf>
    <xf borderId="10" fillId="4" fontId="1" numFmtId="9" xfId="0" applyAlignment="1" applyBorder="1" applyFont="1" applyNumberFormat="1">
      <alignment horizontal="center"/>
    </xf>
    <xf borderId="10" fillId="5" fontId="1" numFmtId="9" xfId="0" applyAlignment="1" applyBorder="1" applyFont="1" applyNumberFormat="1">
      <alignment horizontal="center"/>
    </xf>
    <xf borderId="10" fillId="4" fontId="1" numFmtId="165" xfId="0" applyAlignment="1" applyBorder="1" applyFont="1" applyNumberFormat="1">
      <alignment horizontal="center"/>
    </xf>
    <xf borderId="12" fillId="4" fontId="1" numFmtId="165" xfId="0" applyAlignment="1" applyBorder="1" applyFont="1" applyNumberFormat="1">
      <alignment horizontal="center"/>
    </xf>
    <xf borderId="10" fillId="5" fontId="1" numFmtId="165" xfId="0" applyAlignment="1" applyBorder="1" applyFont="1" applyNumberFormat="1">
      <alignment horizontal="center"/>
    </xf>
    <xf borderId="10" fillId="4" fontId="1" numFmtId="10" xfId="0" applyAlignment="1" applyBorder="1" applyFont="1" applyNumberFormat="1">
      <alignment horizontal="center"/>
    </xf>
    <xf borderId="10" fillId="3" fontId="1" numFmtId="165" xfId="0" applyAlignment="1" applyBorder="1" applyFont="1" applyNumberFormat="1">
      <alignment horizontal="center"/>
    </xf>
    <xf borderId="12" fillId="4" fontId="1" numFmtId="9" xfId="0" applyAlignment="1" applyBorder="1" applyFont="1" applyNumberFormat="1">
      <alignment horizontal="center"/>
    </xf>
    <xf borderId="10" fillId="15" fontId="5" numFmtId="1" xfId="0" applyAlignment="1" applyBorder="1" applyFont="1" applyNumberFormat="1">
      <alignment horizontal="center"/>
    </xf>
    <xf borderId="1" fillId="4" fontId="1" numFmtId="9" xfId="0" applyAlignment="1" applyBorder="1" applyFont="1" applyNumberFormat="1">
      <alignment horizontal="center"/>
    </xf>
    <xf borderId="10" fillId="4" fontId="1" numFmtId="166" xfId="0" applyAlignment="1" applyBorder="1" applyFont="1" applyNumberFormat="1">
      <alignment horizontal="center"/>
    </xf>
    <xf borderId="12" fillId="4" fontId="1" numFmtId="10" xfId="0" applyAlignment="1" applyBorder="1" applyFont="1" applyNumberFormat="1">
      <alignment horizontal="center"/>
    </xf>
    <xf borderId="10" fillId="16" fontId="5" numFmtId="1" xfId="0" applyAlignment="1" applyBorder="1" applyFont="1" applyNumberFormat="1">
      <alignment horizontal="center"/>
    </xf>
    <xf borderId="14" fillId="17" fontId="5" numFmtId="1" xfId="0" applyAlignment="1" applyBorder="1" applyFill="1" applyFont="1" applyNumberFormat="1">
      <alignment horizontal="center" textRotation="90" vertical="center"/>
    </xf>
    <xf borderId="10" fillId="14" fontId="7" numFmtId="9" xfId="0" applyAlignment="1" applyBorder="1" applyFont="1" applyNumberFormat="1">
      <alignment horizontal="center"/>
    </xf>
    <xf borderId="10" fillId="14" fontId="7" numFmtId="165" xfId="0" applyAlignment="1" applyBorder="1" applyFont="1" applyNumberFormat="1">
      <alignment horizontal="center"/>
    </xf>
    <xf borderId="1" fillId="4" fontId="1" numFmtId="165" xfId="0" applyAlignment="1" applyBorder="1" applyFont="1" applyNumberFormat="1">
      <alignment horizontal="center"/>
    </xf>
    <xf borderId="10" fillId="4" fontId="1" numFmtId="164" xfId="0" applyBorder="1" applyFont="1" applyNumberFormat="1"/>
    <xf borderId="12" fillId="14" fontId="7" numFmtId="9" xfId="0" applyAlignment="1" applyBorder="1" applyFont="1" applyNumberFormat="1">
      <alignment horizontal="center"/>
    </xf>
    <xf borderId="7" fillId="0" fontId="1" numFmtId="1" xfId="0" applyAlignment="1" applyBorder="1" applyFont="1" applyNumberFormat="1">
      <alignment horizontal="center"/>
    </xf>
    <xf borderId="10" fillId="18" fontId="5" numFmtId="1" xfId="0" applyAlignment="1" applyBorder="1" applyFill="1" applyFont="1" applyNumberFormat="1">
      <alignment horizontal="center"/>
    </xf>
    <xf borderId="10" fillId="12" fontId="5" numFmtId="1" xfId="0" applyAlignment="1" applyBorder="1" applyFont="1" applyNumberFormat="1">
      <alignment horizontal="center"/>
    </xf>
    <xf borderId="10" fillId="16" fontId="1" numFmtId="1" xfId="0" applyAlignment="1" applyBorder="1" applyFont="1" applyNumberFormat="1">
      <alignment horizontal="center"/>
    </xf>
    <xf borderId="10" fillId="0" fontId="1" numFmtId="0" xfId="0" applyBorder="1" applyFont="1"/>
    <xf borderId="10" fillId="0" fontId="1" numFmtId="0" xfId="0" applyAlignment="1" applyBorder="1" applyFont="1">
      <alignment horizontal="center"/>
    </xf>
    <xf borderId="1" fillId="4" fontId="1" numFmtId="0" xfId="0" applyBorder="1" applyFont="1"/>
    <xf borderId="1" fillId="4" fontId="1" numFmtId="9" xfId="0" applyBorder="1" applyFont="1" applyNumberFormat="1"/>
    <xf borderId="18" fillId="19" fontId="11" numFmtId="1" xfId="0" applyAlignment="1" applyBorder="1" applyFill="1" applyFont="1" applyNumberFormat="1">
      <alignment horizontal="center" textRotation="90" vertical="center"/>
    </xf>
    <xf borderId="10" fillId="14" fontId="12" numFmtId="1" xfId="0" applyBorder="1" applyFont="1" applyNumberFormat="1"/>
    <xf borderId="10" fillId="14" fontId="12" numFmtId="1" xfId="0" applyAlignment="1" applyBorder="1" applyFont="1" applyNumberFormat="1">
      <alignment horizontal="center" vertical="center"/>
    </xf>
    <xf borderId="0" fillId="0" fontId="13" numFmtId="1" xfId="0" applyFont="1" applyNumberFormat="1"/>
    <xf borderId="0" fillId="0" fontId="13" numFmtId="1" xfId="0" applyAlignment="1" applyFont="1" applyNumberFormat="1">
      <alignment horizontal="center"/>
    </xf>
    <xf borderId="0" fillId="0" fontId="13" numFmtId="9" xfId="0" applyAlignment="1" applyFont="1" applyNumberFormat="1">
      <alignment horizontal="center"/>
    </xf>
    <xf borderId="0" fillId="0" fontId="13" numFmtId="0" xfId="0" applyFont="1"/>
    <xf borderId="19" fillId="0" fontId="4" numFmtId="0" xfId="0" applyBorder="1" applyFont="1"/>
    <xf borderId="10" fillId="15" fontId="13" numFmtId="1" xfId="0" applyBorder="1" applyFont="1" applyNumberFormat="1"/>
    <xf borderId="10" fillId="15" fontId="13" numFmtId="1" xfId="0" applyAlignment="1" applyBorder="1" applyFont="1" applyNumberFormat="1">
      <alignment horizontal="center" vertical="center"/>
    </xf>
    <xf borderId="10" fillId="15" fontId="13" numFmtId="1" xfId="0" applyAlignment="1" applyBorder="1" applyFont="1" applyNumberFormat="1">
      <alignment horizontal="center"/>
    </xf>
    <xf borderId="12" fillId="15" fontId="13" numFmtId="1" xfId="0" applyAlignment="1" applyBorder="1" applyFont="1" applyNumberFormat="1">
      <alignment horizontal="center"/>
    </xf>
    <xf borderId="10" fillId="4" fontId="13" numFmtId="1" xfId="0" applyBorder="1" applyFont="1" applyNumberFormat="1"/>
    <xf borderId="10" fillId="0" fontId="13" numFmtId="1" xfId="0" applyAlignment="1" applyBorder="1" applyFont="1" applyNumberFormat="1">
      <alignment horizontal="center" vertical="center"/>
    </xf>
    <xf borderId="10" fillId="5" fontId="13" numFmtId="1" xfId="0" applyAlignment="1" applyBorder="1" applyFont="1" applyNumberFormat="1">
      <alignment horizontal="center" vertical="center"/>
    </xf>
    <xf borderId="10" fillId="5" fontId="13" numFmtId="1" xfId="0" applyAlignment="1" applyBorder="1" applyFont="1" applyNumberFormat="1">
      <alignment horizontal="center"/>
    </xf>
    <xf borderId="10" fillId="0" fontId="13" numFmtId="1" xfId="0" applyAlignment="1" applyBorder="1" applyFont="1" applyNumberFormat="1">
      <alignment horizontal="center"/>
    </xf>
    <xf borderId="7" fillId="0" fontId="13" numFmtId="1" xfId="0" applyAlignment="1" applyBorder="1" applyFont="1" applyNumberFormat="1">
      <alignment horizontal="center"/>
    </xf>
    <xf borderId="10" fillId="14" fontId="12" numFmtId="1" xfId="0" applyAlignment="1" applyBorder="1" applyFont="1" applyNumberFormat="1">
      <alignment horizontal="center"/>
    </xf>
    <xf borderId="10" fillId="15" fontId="11" numFmtId="1" xfId="0" applyBorder="1" applyFont="1" applyNumberFormat="1"/>
    <xf borderId="10" fillId="15" fontId="11" numFmtId="9" xfId="0" applyAlignment="1" applyBorder="1" applyFont="1" applyNumberFormat="1">
      <alignment horizontal="center" vertical="center"/>
    </xf>
    <xf borderId="0" fillId="0" fontId="13" numFmtId="9" xfId="0" applyFont="1" applyNumberFormat="1"/>
    <xf borderId="20" fillId="0" fontId="4" numFmtId="0" xfId="0" applyBorder="1" applyFont="1"/>
    <xf borderId="10" fillId="14" fontId="14" numFmtId="1" xfId="0" applyBorder="1" applyFont="1" applyNumberFormat="1"/>
    <xf borderId="10" fillId="14" fontId="11" numFmtId="165" xfId="0" applyAlignment="1" applyBorder="1" applyFont="1" applyNumberFormat="1">
      <alignment horizontal="center" vertical="center"/>
    </xf>
    <xf borderId="10" fillId="14" fontId="14" numFmtId="9" xfId="0" applyAlignment="1" applyBorder="1" applyFont="1" applyNumberFormat="1">
      <alignment horizontal="center" vertical="center"/>
    </xf>
    <xf borderId="18" fillId="16" fontId="11" numFmtId="1" xfId="0" applyAlignment="1" applyBorder="1" applyFont="1" applyNumberFormat="1">
      <alignment horizontal="center" textRotation="90" vertical="center"/>
    </xf>
    <xf borderId="10" fillId="4" fontId="13" numFmtId="1" xfId="0" applyAlignment="1" applyBorder="1" applyFont="1" applyNumberFormat="1">
      <alignment horizontal="center" vertical="center"/>
    </xf>
    <xf borderId="10" fillId="4" fontId="13" numFmtId="1" xfId="0" applyAlignment="1" applyBorder="1" applyFont="1" applyNumberFormat="1">
      <alignment horizontal="center"/>
    </xf>
    <xf borderId="12" fillId="4" fontId="13" numFmtId="1" xfId="0" applyAlignment="1" applyBorder="1" applyFont="1" applyNumberFormat="1">
      <alignment horizontal="center"/>
    </xf>
    <xf borderId="1" fillId="4" fontId="13" numFmtId="1" xfId="0" applyBorder="1" applyFont="1" applyNumberFormat="1"/>
    <xf borderId="1" fillId="4" fontId="13" numFmtId="1" xfId="0" applyAlignment="1" applyBorder="1" applyFont="1" applyNumberFormat="1">
      <alignment horizontal="center"/>
    </xf>
    <xf borderId="10" fillId="14" fontId="15" numFmtId="1" xfId="0" applyBorder="1" applyFont="1" applyNumberFormat="1"/>
    <xf borderId="10" fillId="14" fontId="15" numFmtId="1" xfId="0" applyAlignment="1" applyBorder="1" applyFont="1" applyNumberFormat="1">
      <alignment horizontal="center" vertical="center"/>
    </xf>
    <xf borderId="10" fillId="14" fontId="15" numFmtId="1" xfId="0" applyAlignment="1" applyBorder="1" applyFont="1" applyNumberFormat="1">
      <alignment horizontal="center"/>
    </xf>
    <xf borderId="10" fillId="15" fontId="11" numFmtId="165" xfId="0" applyAlignment="1" applyBorder="1" applyFont="1" applyNumberFormat="1">
      <alignment horizontal="center" vertical="center"/>
    </xf>
    <xf borderId="12" fillId="15" fontId="11" numFmtId="165" xfId="0" applyAlignment="1" applyBorder="1" applyFont="1" applyNumberFormat="1">
      <alignment horizontal="center" vertical="center"/>
    </xf>
    <xf borderId="1" fillId="3" fontId="16" numFmtId="1" xfId="0" applyAlignment="1" applyBorder="1" applyFont="1" applyNumberFormat="1">
      <alignment horizontal="center"/>
    </xf>
    <xf borderId="1" fillId="4" fontId="1" numFmtId="0" xfId="0" applyAlignment="1" applyBorder="1" applyFont="1">
      <alignment horizontal="left"/>
    </xf>
    <xf borderId="3" fillId="4" fontId="3" numFmtId="0" xfId="0" applyAlignment="1" applyBorder="1" applyFont="1">
      <alignment horizontal="center"/>
    </xf>
    <xf borderId="1" fillId="4" fontId="3" numFmtId="0" xfId="0" applyBorder="1" applyFont="1"/>
    <xf borderId="0" fillId="0" fontId="1" numFmtId="1" xfId="0" applyAlignment="1" applyFont="1" applyNumberFormat="1">
      <alignment horizontal="left"/>
    </xf>
    <xf borderId="1" fillId="16" fontId="1" numFmtId="9" xfId="0" applyAlignment="1" applyBorder="1" applyFont="1" applyNumberFormat="1">
      <alignment horizontal="center"/>
    </xf>
    <xf borderId="0" fillId="0" fontId="1" numFmtId="2" xfId="0" applyAlignment="1" applyFont="1" applyNumberFormat="1">
      <alignment horizontal="center"/>
    </xf>
    <xf borderId="1" fillId="4" fontId="3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6" fillId="4" fontId="3" numFmtId="0" xfId="0" applyBorder="1" applyFont="1"/>
    <xf borderId="1" fillId="4" fontId="3" numFmtId="1" xfId="0" applyBorder="1" applyFont="1" applyNumberFormat="1"/>
    <xf borderId="10" fillId="7" fontId="5" numFmtId="164" xfId="0" applyAlignment="1" applyBorder="1" applyFont="1" applyNumberFormat="1">
      <alignment horizontal="left"/>
    </xf>
    <xf borderId="10" fillId="7" fontId="5" numFmtId="164" xfId="0" applyAlignment="1" applyBorder="1" applyFont="1" applyNumberFormat="1">
      <alignment horizontal="center"/>
    </xf>
    <xf borderId="10" fillId="3" fontId="5" numFmtId="164" xfId="0" applyAlignment="1" applyBorder="1" applyFont="1" applyNumberFormat="1">
      <alignment horizontal="center"/>
    </xf>
    <xf borderId="10" fillId="7" fontId="5" numFmtId="0" xfId="0" applyAlignment="1" applyBorder="1" applyFont="1">
      <alignment horizontal="center"/>
    </xf>
    <xf borderId="10" fillId="8" fontId="5" numFmtId="0" xfId="0" applyAlignment="1" applyBorder="1" applyFont="1">
      <alignment horizontal="center"/>
    </xf>
    <xf borderId="10" fillId="3" fontId="5" numFmtId="0" xfId="0" applyAlignment="1" applyBorder="1" applyFont="1">
      <alignment horizontal="center"/>
    </xf>
    <xf borderId="10" fillId="9" fontId="5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1" fillId="3" fontId="1" numFmtId="1" xfId="0" applyAlignment="1" applyBorder="1" applyFont="1" applyNumberFormat="1">
      <alignment horizontal="center"/>
    </xf>
    <xf borderId="10" fillId="10" fontId="5" numFmtId="1" xfId="0" applyAlignment="1" applyBorder="1" applyFont="1" applyNumberFormat="1">
      <alignment horizontal="left"/>
    </xf>
    <xf borderId="1" fillId="4" fontId="1" numFmtId="1" xfId="0" applyBorder="1" applyFont="1" applyNumberFormat="1"/>
    <xf borderId="10" fillId="14" fontId="7" numFmtId="164" xfId="0" applyBorder="1" applyFont="1" applyNumberFormat="1"/>
    <xf borderId="10" fillId="14" fontId="17" numFmtId="1" xfId="0" applyAlignment="1" applyBorder="1" applyFont="1" applyNumberFormat="1">
      <alignment horizontal="center"/>
    </xf>
    <xf borderId="10" fillId="15" fontId="1" numFmtId="164" xfId="0" applyBorder="1" applyFont="1" applyNumberFormat="1"/>
    <xf borderId="10" fillId="14" fontId="17" numFmtId="164" xfId="0" applyBorder="1" applyFont="1" applyNumberFormat="1"/>
    <xf borderId="10" fillId="14" fontId="17" numFmtId="9" xfId="0" applyAlignment="1" applyBorder="1" applyFont="1" applyNumberFormat="1">
      <alignment horizontal="center"/>
    </xf>
    <xf borderId="1" fillId="4" fontId="5" numFmtId="0" xfId="0" applyBorder="1" applyFont="1"/>
    <xf borderId="0" fillId="0" fontId="18" numFmtId="0" xfId="0" applyFont="1"/>
    <xf borderId="1" fillId="4" fontId="5" numFmtId="9" xfId="0" applyBorder="1" applyFont="1" applyNumberFormat="1"/>
    <xf borderId="10" fillId="3" fontId="1" numFmtId="9" xfId="0" applyAlignment="1" applyBorder="1" applyFont="1" applyNumberFormat="1">
      <alignment horizontal="center"/>
    </xf>
    <xf borderId="10" fillId="0" fontId="2" numFmtId="0" xfId="0" applyAlignment="1" applyBorder="1" applyFont="1">
      <alignment horizontal="center"/>
    </xf>
    <xf borderId="10" fillId="0" fontId="2" numFmtId="0" xfId="0" applyBorder="1" applyFont="1"/>
    <xf borderId="10" fillId="16" fontId="5" numFmtId="165" xfId="0" applyAlignment="1" applyBorder="1" applyFont="1" applyNumberFormat="1">
      <alignment horizontal="center"/>
    </xf>
    <xf borderId="10" fillId="0" fontId="2" numFmtId="9" xfId="0" applyAlignment="1" applyBorder="1" applyFont="1" applyNumberFormat="1">
      <alignment horizontal="center"/>
    </xf>
    <xf borderId="10" fillId="14" fontId="17" numFmtId="1" xfId="0" applyAlignment="1" applyBorder="1" applyFont="1" applyNumberFormat="1">
      <alignment horizontal="left"/>
    </xf>
    <xf borderId="10" fillId="14" fontId="6" numFmtId="1" xfId="0" applyAlignment="1" applyBorder="1" applyFont="1" applyNumberFormat="1">
      <alignment horizontal="center"/>
    </xf>
    <xf borderId="1" fillId="4" fontId="5" numFmtId="165" xfId="0" applyAlignment="1" applyBorder="1" applyFont="1" applyNumberFormat="1">
      <alignment horizontal="center"/>
    </xf>
    <xf borderId="1" fillId="4" fontId="5" numFmtId="9" xfId="0" applyAlignment="1" applyBorder="1" applyFont="1" applyNumberFormat="1">
      <alignment horizontal="center"/>
    </xf>
    <xf borderId="1" fillId="4" fontId="5" numFmtId="1" xfId="0" applyAlignment="1" applyBorder="1" applyFont="1" applyNumberFormat="1">
      <alignment horizontal="center"/>
    </xf>
    <xf borderId="10" fillId="0" fontId="1" numFmtId="0" xfId="0" applyAlignment="1" applyBorder="1" applyFont="1">
      <alignment horizontal="left"/>
    </xf>
    <xf borderId="0" fillId="0" fontId="13" numFmtId="9" xfId="0" applyAlignment="1" applyFont="1" applyNumberFormat="1">
      <alignment horizontal="left"/>
    </xf>
    <xf borderId="0" fillId="0" fontId="13" numFmtId="1" xfId="0" applyAlignment="1" applyFont="1" applyNumberFormat="1">
      <alignment horizontal="left"/>
    </xf>
    <xf borderId="10" fillId="3" fontId="13" numFmtId="1" xfId="0" applyAlignment="1" applyBorder="1" applyFont="1" applyNumberFormat="1">
      <alignment horizontal="center" vertical="center"/>
    </xf>
    <xf borderId="10" fillId="3" fontId="13" numFmtId="1" xfId="0" applyAlignment="1" applyBorder="1" applyFont="1" applyNumberFormat="1">
      <alignment horizontal="center"/>
    </xf>
    <xf borderId="10" fillId="4" fontId="1" numFmtId="0" xfId="0" applyBorder="1" applyFont="1"/>
    <xf borderId="10" fillId="3" fontId="1" numFmtId="0" xfId="0" applyAlignment="1" applyBorder="1" applyFont="1">
      <alignment horizontal="center"/>
    </xf>
    <xf borderId="10" fillId="4" fontId="1" numFmtId="1" xfId="0" applyBorder="1" applyFont="1" applyNumberFormat="1"/>
    <xf borderId="1" fillId="3" fontId="13" numFmtId="1" xfId="0" applyAlignment="1" applyBorder="1" applyFont="1" applyNumberFormat="1">
      <alignment horizontal="center"/>
    </xf>
    <xf borderId="0" fillId="0" fontId="13" numFmtId="167" xfId="0" applyAlignment="1" applyFont="1" applyNumberFormat="1">
      <alignment horizontal="center"/>
    </xf>
    <xf borderId="2" fillId="4" fontId="19" numFmtId="1" xfId="0" applyBorder="1" applyFont="1" applyNumberFormat="1"/>
    <xf borderId="3" fillId="4" fontId="19" numFmtId="1" xfId="0" applyAlignment="1" applyBorder="1" applyFont="1" applyNumberFormat="1">
      <alignment horizontal="center"/>
    </xf>
    <xf borderId="1" fillId="4" fontId="19" numFmtId="1" xfId="0" applyAlignment="1" applyBorder="1" applyFont="1" applyNumberFormat="1">
      <alignment horizontal="center"/>
    </xf>
    <xf borderId="1" fillId="16" fontId="13" numFmtId="9" xfId="0" applyAlignment="1" applyBorder="1" applyFont="1" applyNumberFormat="1">
      <alignment horizontal="center"/>
    </xf>
    <xf borderId="4" fillId="4" fontId="19" numFmtId="1" xfId="0" applyBorder="1" applyFont="1" applyNumberFormat="1"/>
    <xf borderId="10" fillId="0" fontId="11" numFmtId="1" xfId="0" applyAlignment="1" applyBorder="1" applyFont="1" applyNumberFormat="1">
      <alignment horizontal="center"/>
    </xf>
    <xf borderId="5" fillId="4" fontId="19" numFmtId="1" xfId="0" applyBorder="1" applyFont="1" applyNumberFormat="1"/>
    <xf borderId="6" fillId="4" fontId="19" numFmtId="165" xfId="0" applyAlignment="1" applyBorder="1" applyFont="1" applyNumberFormat="1">
      <alignment horizontal="center"/>
    </xf>
    <xf borderId="6" fillId="4" fontId="19" numFmtId="9" xfId="0" applyAlignment="1" applyBorder="1" applyFont="1" applyNumberFormat="1">
      <alignment horizontal="center"/>
    </xf>
    <xf borderId="6" fillId="4" fontId="19" numFmtId="168" xfId="0" applyAlignment="1" applyBorder="1" applyFont="1" applyNumberFormat="1">
      <alignment horizontal="center"/>
    </xf>
    <xf borderId="1" fillId="4" fontId="19" numFmtId="168" xfId="0" applyAlignment="1" applyBorder="1" applyFont="1" applyNumberFormat="1">
      <alignment horizontal="center"/>
    </xf>
    <xf borderId="10" fillId="10" fontId="11" numFmtId="1" xfId="0" applyAlignment="1" applyBorder="1" applyFont="1" applyNumberFormat="1">
      <alignment horizontal="center"/>
    </xf>
    <xf borderId="10" fillId="11" fontId="11" numFmtId="1" xfId="0" applyAlignment="1" applyBorder="1" applyFont="1" applyNumberFormat="1">
      <alignment horizontal="center"/>
    </xf>
    <xf borderId="10" fillId="18" fontId="11" numFmtId="1" xfId="0" applyAlignment="1" applyBorder="1" applyFont="1" applyNumberFormat="1">
      <alignment horizontal="center"/>
    </xf>
    <xf borderId="10" fillId="8" fontId="11" numFmtId="1" xfId="0" applyAlignment="1" applyBorder="1" applyFont="1" applyNumberFormat="1">
      <alignment horizontal="center"/>
    </xf>
    <xf borderId="10" fillId="12" fontId="11" numFmtId="1" xfId="0" applyAlignment="1" applyBorder="1" applyFont="1" applyNumberFormat="1">
      <alignment horizontal="center"/>
    </xf>
    <xf borderId="0" fillId="0" fontId="11" numFmtId="1" xfId="0" applyFont="1" applyNumberFormat="1"/>
    <xf borderId="10" fillId="7" fontId="11" numFmtId="1" xfId="0" applyBorder="1" applyFont="1" applyNumberFormat="1"/>
    <xf borderId="10" fillId="7" fontId="11" numFmtId="1" xfId="0" applyAlignment="1" applyBorder="1" applyFont="1" applyNumberFormat="1">
      <alignment horizontal="center"/>
    </xf>
    <xf borderId="10" fillId="3" fontId="11" numFmtId="1" xfId="0" applyAlignment="1" applyBorder="1" applyFont="1" applyNumberFormat="1">
      <alignment horizontal="center"/>
    </xf>
    <xf borderId="10" fillId="20" fontId="11" numFmtId="1" xfId="0" applyAlignment="1" applyBorder="1" applyFill="1" applyFont="1" applyNumberFormat="1">
      <alignment horizontal="center"/>
    </xf>
    <xf borderId="0" fillId="0" fontId="11" numFmtId="1" xfId="0" applyAlignment="1" applyFont="1" applyNumberFormat="1">
      <alignment horizontal="center"/>
    </xf>
    <xf borderId="10" fillId="15" fontId="11" numFmtId="1" xfId="0" applyAlignment="1" applyBorder="1" applyFont="1" applyNumberFormat="1">
      <alignment horizontal="left"/>
    </xf>
    <xf borderId="10" fillId="15" fontId="11" numFmtId="9" xfId="0" applyAlignment="1" applyBorder="1" applyFont="1" applyNumberFormat="1">
      <alignment horizontal="center"/>
    </xf>
    <xf borderId="10" fillId="16" fontId="11" numFmtId="9" xfId="0" applyAlignment="1" applyBorder="1" applyFont="1" applyNumberFormat="1">
      <alignment horizontal="center"/>
    </xf>
    <xf borderId="10" fillId="15" fontId="11" numFmtId="1" xfId="0" applyAlignment="1" applyBorder="1" applyFont="1" applyNumberFormat="1">
      <alignment horizontal="center"/>
    </xf>
    <xf borderId="10" fillId="15" fontId="13" numFmtId="166" xfId="0" applyAlignment="1" applyBorder="1" applyFont="1" applyNumberFormat="1">
      <alignment horizontal="center"/>
    </xf>
    <xf borderId="10" fillId="0" fontId="13" numFmtId="165" xfId="0" applyAlignment="1" applyBorder="1" applyFont="1" applyNumberFormat="1">
      <alignment horizontal="center"/>
    </xf>
    <xf borderId="10" fillId="0" fontId="13" numFmtId="10" xfId="0" applyAlignment="1" applyBorder="1" applyFont="1" applyNumberFormat="1">
      <alignment horizontal="center"/>
    </xf>
    <xf borderId="10" fillId="0" fontId="13" numFmtId="9" xfId="0" applyAlignment="1" applyBorder="1" applyFont="1" applyNumberFormat="1">
      <alignment horizontal="center"/>
    </xf>
    <xf borderId="10" fillId="0" fontId="13" numFmtId="165" xfId="0" applyAlignment="1" applyBorder="1" applyFont="1" applyNumberFormat="1">
      <alignment horizontal="center" vertical="center"/>
    </xf>
    <xf borderId="10" fillId="0" fontId="13" numFmtId="10" xfId="0" applyAlignment="1" applyBorder="1" applyFont="1" applyNumberFormat="1">
      <alignment horizontal="center" vertical="center"/>
    </xf>
    <xf borderId="10" fillId="3" fontId="13" numFmtId="10" xfId="0" applyAlignment="1" applyBorder="1" applyFont="1" applyNumberFormat="1">
      <alignment horizontal="center" vertical="center"/>
    </xf>
    <xf borderId="10" fillId="0" fontId="13" numFmtId="1" xfId="0" applyAlignment="1" applyBorder="1" applyFont="1" applyNumberFormat="1">
      <alignment horizontal="left"/>
    </xf>
    <xf borderId="10" fillId="16" fontId="11" numFmtId="1" xfId="0" applyAlignment="1" applyBorder="1" applyFont="1" applyNumberFormat="1">
      <alignment horizontal="center"/>
    </xf>
    <xf borderId="1" fillId="4" fontId="11" numFmtId="1" xfId="0" applyAlignment="1" applyBorder="1" applyFont="1" applyNumberFormat="1">
      <alignment horizontal="left"/>
    </xf>
    <xf borderId="1" fillId="4" fontId="11" numFmtId="165" xfId="0" applyAlignment="1" applyBorder="1" applyFont="1" applyNumberFormat="1">
      <alignment horizontal="center"/>
    </xf>
    <xf borderId="1" fillId="4" fontId="11" numFmtId="9" xfId="0" applyAlignment="1" applyBorder="1" applyFont="1" applyNumberFormat="1">
      <alignment horizontal="center"/>
    </xf>
    <xf borderId="1" fillId="4" fontId="11" numFmtId="1" xfId="0" applyAlignment="1" applyBorder="1" applyFont="1" applyNumberFormat="1">
      <alignment horizontal="center"/>
    </xf>
    <xf borderId="10" fillId="4" fontId="13" numFmtId="164" xfId="0" applyBorder="1" applyFont="1" applyNumberFormat="1"/>
    <xf borderId="10" fillId="13" fontId="11" numFmtId="9" xfId="0" applyAlignment="1" applyBorder="1" applyFont="1" applyNumberFormat="1">
      <alignment horizontal="center" vertical="center"/>
    </xf>
    <xf borderId="10" fillId="13" fontId="20" numFmtId="9" xfId="0" applyAlignment="1" applyBorder="1" applyFont="1" applyNumberFormat="1">
      <alignment horizontal="center"/>
    </xf>
    <xf borderId="10" fillId="15" fontId="11" numFmtId="10" xfId="0" applyAlignment="1" applyBorder="1" applyFont="1" applyNumberFormat="1">
      <alignment horizontal="center" vertical="center"/>
    </xf>
    <xf borderId="0" fillId="0" fontId="11" numFmtId="165" xfId="0" applyFont="1" applyNumberFormat="1"/>
    <xf borderId="10" fillId="16" fontId="13" numFmtId="1" xfId="0" applyAlignment="1" applyBorder="1" applyFont="1" applyNumberFormat="1">
      <alignment horizontal="center"/>
    </xf>
    <xf borderId="10" fillId="15" fontId="11" numFmtId="165" xfId="0" applyAlignment="1" applyBorder="1" applyFont="1" applyNumberFormat="1">
      <alignment horizontal="center"/>
    </xf>
    <xf borderId="10" fillId="15" fontId="13" numFmtId="9" xfId="0" applyAlignment="1" applyBorder="1" applyFont="1" applyNumberFormat="1">
      <alignment horizontal="center"/>
    </xf>
    <xf borderId="10" fillId="0" fontId="13" numFmtId="0" xfId="0" applyBorder="1" applyFont="1"/>
    <xf borderId="10" fillId="3" fontId="13" numFmtId="0" xfId="0" applyBorder="1" applyFont="1"/>
    <xf borderId="10" fillId="0" fontId="13" numFmtId="0" xfId="0" applyAlignment="1" applyBorder="1" applyFont="1">
      <alignment horizontal="center"/>
    </xf>
    <xf borderId="10" fillId="3" fontId="13" numFmtId="0" xfId="0" applyAlignment="1" applyBorder="1" applyFont="1">
      <alignment horizontal="center"/>
    </xf>
    <xf borderId="10" fillId="13" fontId="13" numFmtId="1" xfId="0" applyAlignment="1" applyBorder="1" applyFont="1" applyNumberFormat="1">
      <alignment horizontal="center" vertical="center"/>
    </xf>
    <xf borderId="10" fillId="13" fontId="13" numFmtId="1" xfId="0" applyAlignment="1" applyBorder="1" applyFont="1" applyNumberFormat="1">
      <alignment horizontal="center"/>
    </xf>
    <xf borderId="10" fillId="13" fontId="13" numFmtId="0" xfId="0" applyBorder="1" applyFont="1"/>
    <xf borderId="10" fillId="13" fontId="13" numFmtId="0" xfId="0" applyAlignment="1" applyBorder="1" applyFont="1">
      <alignment horizontal="center"/>
    </xf>
    <xf borderId="0" fillId="0" fontId="13" numFmtId="1" xfId="0" applyAlignment="1" applyFont="1" applyNumberFormat="1">
      <alignment horizontal="center" vertical="center"/>
    </xf>
    <xf borderId="1" fillId="4" fontId="13" numFmtId="1" xfId="0" applyAlignment="1" applyBorder="1" applyFont="1" applyNumberFormat="1">
      <alignment horizontal="center" vertical="center"/>
    </xf>
    <xf borderId="0" fillId="0" fontId="13" numFmtId="9" xfId="0" applyAlignment="1" applyFont="1" applyNumberFormat="1">
      <alignment horizontal="center" vertical="center"/>
    </xf>
    <xf borderId="1" fillId="4" fontId="13" numFmtId="9" xfId="0" applyAlignment="1" applyBorder="1" applyFont="1" applyNumberFormat="1">
      <alignment horizontal="center" vertical="center"/>
    </xf>
    <xf borderId="1" fillId="4" fontId="13" numFmtId="9" xfId="0" applyBorder="1" applyFont="1" applyNumberFormat="1"/>
    <xf borderId="21" fillId="4" fontId="13" numFmtId="1" xfId="0" applyAlignment="1" applyBorder="1" applyFont="1" applyNumberFormat="1">
      <alignment horizontal="center" vertical="center"/>
    </xf>
    <xf borderId="22" fillId="4" fontId="13" numFmtId="1" xfId="0" applyAlignment="1" applyBorder="1" applyFont="1" applyNumberFormat="1">
      <alignment horizontal="center" vertical="center"/>
    </xf>
    <xf borderId="1" fillId="4" fontId="13" numFmtId="9" xfId="0" applyAlignment="1" applyBorder="1" applyFont="1" applyNumberFormat="1">
      <alignment horizontal="left" vertical="center"/>
    </xf>
    <xf borderId="1" fillId="4" fontId="1" numFmtId="167" xfId="0" applyAlignment="1" applyBorder="1" applyFont="1" applyNumberFormat="1">
      <alignment horizontal="center"/>
    </xf>
    <xf borderId="3" fillId="3" fontId="3" numFmtId="1" xfId="0" applyAlignment="1" applyBorder="1" applyFont="1" applyNumberFormat="1">
      <alignment horizontal="center"/>
    </xf>
    <xf borderId="1" fillId="3" fontId="3" numFmtId="1" xfId="0" applyAlignment="1" applyBorder="1" applyFont="1" applyNumberFormat="1">
      <alignment horizontal="center"/>
    </xf>
    <xf borderId="1" fillId="4" fontId="3" numFmtId="2" xfId="0" applyAlignment="1" applyBorder="1" applyFont="1" applyNumberFormat="1">
      <alignment horizontal="center"/>
    </xf>
    <xf borderId="10" fillId="0" fontId="5" numFmtId="0" xfId="0" applyAlignment="1" applyBorder="1" applyFont="1">
      <alignment horizontal="center"/>
    </xf>
    <xf borderId="10" fillId="0" fontId="5" numFmtId="1" xfId="0" applyBorder="1" applyFont="1" applyNumberFormat="1"/>
    <xf borderId="6" fillId="3" fontId="3" numFmtId="9" xfId="0" applyAlignment="1" applyBorder="1" applyFont="1" applyNumberFormat="1">
      <alignment horizontal="center"/>
    </xf>
    <xf borderId="6" fillId="4" fontId="3" numFmtId="165" xfId="0" applyAlignment="1" applyBorder="1" applyFont="1" applyNumberFormat="1">
      <alignment horizontal="center"/>
    </xf>
    <xf borderId="1" fillId="4" fontId="3" numFmtId="9" xfId="0" applyAlignment="1" applyBorder="1" applyFont="1" applyNumberFormat="1">
      <alignment horizontal="center"/>
    </xf>
    <xf borderId="10" fillId="3" fontId="5" numFmtId="1" xfId="0" applyAlignment="1" applyBorder="1" applyFont="1" applyNumberFormat="1">
      <alignment horizontal="center"/>
    </xf>
    <xf borderId="1" fillId="4" fontId="3" numFmtId="167" xfId="0" applyAlignment="1" applyBorder="1" applyFont="1" applyNumberFormat="1">
      <alignment horizontal="center"/>
    </xf>
    <xf borderId="7" fillId="0" fontId="5" numFmtId="1" xfId="0" applyBorder="1" applyFont="1" applyNumberFormat="1"/>
    <xf borderId="9" fillId="0" fontId="5" numFmtId="1" xfId="0" applyBorder="1" applyFont="1" applyNumberFormat="1"/>
    <xf borderId="10" fillId="15" fontId="1" numFmtId="9" xfId="0" applyAlignment="1" applyBorder="1" applyFont="1" applyNumberFormat="1">
      <alignment horizontal="center"/>
    </xf>
    <xf borderId="10" fillId="14" fontId="7" numFmtId="0" xfId="0" applyBorder="1" applyFont="1"/>
    <xf borderId="0" fillId="0" fontId="2" numFmtId="9" xfId="0" applyFont="1" applyNumberFormat="1"/>
    <xf borderId="0" fillId="0" fontId="21" numFmtId="0" xfId="0" applyFont="1"/>
    <xf borderId="10" fillId="0" fontId="1" numFmtId="1" xfId="0" applyBorder="1" applyFont="1" applyNumberFormat="1"/>
    <xf borderId="1" fillId="4" fontId="22" numFmtId="1" xfId="0" applyAlignment="1" applyBorder="1" applyFont="1" applyNumberFormat="1">
      <alignment horizontal="center" vertical="center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</xdr:colOff>
      <xdr:row>0</xdr:row>
      <xdr:rowOff>19050</xdr:rowOff>
    </xdr:from>
    <xdr:ext cx="7553325" cy="4495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0"/>
  <cols>
    <col customWidth="1" min="1" max="1" width="4.57"/>
    <col customWidth="1" min="2" max="2" width="29.0"/>
    <col customWidth="1" hidden="1" min="3" max="14" width="10.29"/>
    <col customWidth="1" min="15" max="15" width="15.57"/>
    <col customWidth="1" min="16" max="27" width="10.29"/>
    <col customWidth="1" min="28" max="28" width="11.14"/>
    <col customWidth="1" min="29" max="29" width="10.29"/>
    <col customWidth="1" min="30" max="30" width="9.29"/>
    <col customWidth="1" min="31" max="31" width="10.43"/>
    <col customWidth="1" min="32" max="54" width="9.29"/>
    <col customWidth="1" min="55" max="55" width="14.86"/>
    <col customWidth="1" min="56" max="56" width="9.29"/>
    <col customWidth="1" min="57" max="57" width="34.14"/>
    <col customWidth="1" min="58" max="58" width="9.57"/>
    <col customWidth="1" min="59" max="60" width="7.86"/>
    <col customWidth="1" min="61" max="61" width="9.29"/>
    <col customWidth="1" min="62" max="62" width="7.86"/>
    <col customWidth="1" min="63" max="64" width="9.29"/>
    <col customWidth="1" hidden="1" min="65" max="65" width="9.29"/>
    <col customWidth="1" hidden="1" min="66" max="66" width="35.57"/>
    <col customWidth="1" hidden="1" min="67" max="74" width="9.29"/>
    <col customWidth="1" hidden="1" min="75" max="75" width="35.14"/>
    <col customWidth="1" hidden="1" min="76" max="76" width="9.29"/>
    <col customWidth="1" hidden="1" min="77" max="77" width="7.86"/>
    <col customWidth="1" hidden="1" min="78" max="78" width="11.57"/>
    <col customWidth="1" hidden="1" min="79" max="83" width="8.71"/>
    <col customWidth="1" min="84" max="84" width="8.71"/>
    <col customWidth="1" min="85" max="87" width="14.43"/>
  </cols>
  <sheetData>
    <row r="1" ht="31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>
        <f t="shared" ref="AC1:AM1" si="1">AC3/AC7</f>
        <v>112197.871</v>
      </c>
      <c r="AD1" s="4">
        <f t="shared" si="1"/>
        <v>111397.1724</v>
      </c>
      <c r="AE1" s="4">
        <f t="shared" si="1"/>
        <v>98612.22581</v>
      </c>
      <c r="AF1" s="4">
        <f t="shared" si="1"/>
        <v>101049.2667</v>
      </c>
      <c r="AG1" s="4">
        <f t="shared" si="1"/>
        <v>106731.6452</v>
      </c>
      <c r="AH1" s="4">
        <f t="shared" si="1"/>
        <v>100789.9667</v>
      </c>
      <c r="AI1" s="4">
        <f t="shared" si="1"/>
        <v>95087.77419</v>
      </c>
      <c r="AJ1" s="4">
        <f t="shared" si="1"/>
        <v>85884.45161</v>
      </c>
      <c r="AK1" s="4">
        <f t="shared" si="1"/>
        <v>82687.43333</v>
      </c>
      <c r="AL1" s="4">
        <f t="shared" si="1"/>
        <v>77836.22581</v>
      </c>
      <c r="AM1" s="4">
        <f t="shared" si="1"/>
        <v>86107.06667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5"/>
      <c r="BZ1" s="5"/>
      <c r="CA1" s="5"/>
      <c r="CB1" s="5"/>
      <c r="CC1" s="5"/>
      <c r="CD1" s="2"/>
      <c r="CE1" s="2"/>
      <c r="CF1" s="2"/>
      <c r="CG1" s="2"/>
      <c r="CH1" s="2"/>
      <c r="CI1" s="2"/>
    </row>
    <row r="2" ht="12.0" customHeight="1">
      <c r="A2" s="6"/>
      <c r="B2" s="7" t="s">
        <v>1</v>
      </c>
      <c r="C2" s="8">
        <v>2808454.0</v>
      </c>
      <c r="D2" s="8">
        <v>2506519.0</v>
      </c>
      <c r="E2" s="8">
        <v>2866024.0</v>
      </c>
      <c r="F2" s="8">
        <v>2466027.0</v>
      </c>
      <c r="G2" s="8">
        <v>3115818.0</v>
      </c>
      <c r="H2" s="8">
        <v>2997261.0</v>
      </c>
      <c r="I2" s="8">
        <v>2951163.0</v>
      </c>
      <c r="J2" s="8">
        <v>2807651.0</v>
      </c>
      <c r="K2" s="8">
        <v>2780695.0</v>
      </c>
      <c r="L2" s="8">
        <v>2976306.0</v>
      </c>
      <c r="M2" s="8">
        <v>3087677.0</v>
      </c>
      <c r="N2" s="8">
        <v>3264436.0</v>
      </c>
      <c r="O2" s="9">
        <f t="shared" ref="O2:O3" si="2">AVERAGE(C2:N2)</f>
        <v>2885669.25</v>
      </c>
      <c r="P2" s="8">
        <v>3244298.0</v>
      </c>
      <c r="Q2" s="8">
        <v>2817444.0</v>
      </c>
      <c r="R2" s="8">
        <v>3146402.0</v>
      </c>
      <c r="S2" s="8">
        <v>3548991.0</v>
      </c>
      <c r="T2" s="8">
        <v>3754734.0</v>
      </c>
      <c r="U2" s="8">
        <v>3511663.0</v>
      </c>
      <c r="V2" s="8">
        <v>3294320.0</v>
      </c>
      <c r="W2" s="8">
        <v>3287577.0</v>
      </c>
      <c r="X2" s="8">
        <v>2561569.3</v>
      </c>
      <c r="Y2" s="8">
        <v>3353445.0</v>
      </c>
      <c r="Z2" s="8">
        <v>3501652.0</v>
      </c>
      <c r="AA2" s="8">
        <v>3778213.0</v>
      </c>
      <c r="AB2" s="9">
        <f t="shared" ref="AB2:AB3" si="3">AVERAGE(P2:AA2)</f>
        <v>3316692.358</v>
      </c>
      <c r="AC2" s="8">
        <v>3790757.0</v>
      </c>
      <c r="AD2" s="8">
        <v>3462603.0</v>
      </c>
      <c r="AE2" s="8">
        <v>3539279.0</v>
      </c>
      <c r="AF2" s="8">
        <v>3365062.0</v>
      </c>
      <c r="AG2" s="8">
        <v>3605450.0</v>
      </c>
      <c r="AH2" s="8">
        <v>3395031.0</v>
      </c>
      <c r="AI2" s="8">
        <v>3278468.0</v>
      </c>
      <c r="AJ2" s="8">
        <v>3091958.0</v>
      </c>
      <c r="AK2" s="8">
        <v>3001604.0</v>
      </c>
      <c r="AL2" s="8">
        <v>3107077.0</v>
      </c>
      <c r="AM2" s="8">
        <v>3057520.0</v>
      </c>
      <c r="AN2" s="8">
        <v>3136430.0</v>
      </c>
      <c r="AO2" s="10">
        <f t="shared" ref="AO2:AO3" si="4">SUM(AC2:AN2)</f>
        <v>39831239</v>
      </c>
      <c r="AP2" s="8">
        <v>3116905.0</v>
      </c>
      <c r="AQ2" s="8">
        <v>2712955.0</v>
      </c>
      <c r="AR2" s="8">
        <v>3004801.0</v>
      </c>
      <c r="AS2" s="8">
        <v>3094887.0</v>
      </c>
      <c r="AT2" s="8">
        <v>3231254.0</v>
      </c>
      <c r="AU2" s="8">
        <v>2856984.0</v>
      </c>
      <c r="AV2" s="8"/>
      <c r="AW2" s="8"/>
      <c r="AX2" s="8"/>
      <c r="AY2" s="8"/>
      <c r="AZ2" s="8"/>
      <c r="BA2" s="8"/>
      <c r="BB2" s="10">
        <f t="shared" ref="BB2:BB3" si="5">SUM(AP2:BA2)</f>
        <v>18017786</v>
      </c>
      <c r="BC2" s="2"/>
      <c r="BD2" s="2"/>
      <c r="BE2" s="2"/>
      <c r="BF2" s="2"/>
      <c r="BG2" s="2">
        <f>AH12*10%</f>
        <v>339503.1</v>
      </c>
      <c r="BH2" s="2">
        <f>BG2/1000</f>
        <v>339.5031</v>
      </c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11"/>
      <c r="BY2" s="5"/>
      <c r="BZ2" s="5"/>
      <c r="CA2" s="5"/>
      <c r="CB2" s="5"/>
      <c r="CC2" s="5"/>
      <c r="CD2" s="4"/>
      <c r="CE2" s="4"/>
      <c r="CF2" s="4"/>
      <c r="CG2" s="2"/>
      <c r="CH2" s="2"/>
      <c r="CI2" s="2"/>
    </row>
    <row r="3" ht="12.0" customHeight="1">
      <c r="A3" s="6"/>
      <c r="B3" s="12" t="s">
        <v>2</v>
      </c>
      <c r="C3" s="13">
        <v>1071550.0</v>
      </c>
      <c r="D3" s="13">
        <v>1308741.0</v>
      </c>
      <c r="E3" s="13">
        <v>1919085.0</v>
      </c>
      <c r="F3" s="13">
        <v>1208658.0</v>
      </c>
      <c r="G3" s="13">
        <v>1079355.0</v>
      </c>
      <c r="H3" s="13">
        <v>1052908.0</v>
      </c>
      <c r="I3" s="13">
        <v>765609.0</v>
      </c>
      <c r="J3" s="13">
        <v>918769.0</v>
      </c>
      <c r="K3" s="13">
        <v>878240.0</v>
      </c>
      <c r="L3" s="13">
        <v>934107.0</v>
      </c>
      <c r="M3" s="13">
        <v>1636913.0</v>
      </c>
      <c r="N3" s="13">
        <v>2213838.0</v>
      </c>
      <c r="O3" s="14">
        <f t="shared" si="2"/>
        <v>1248981.083</v>
      </c>
      <c r="P3" s="13">
        <v>2432277.0</v>
      </c>
      <c r="Q3" s="13">
        <v>1770390.0</v>
      </c>
      <c r="R3" s="13">
        <v>1875171.0</v>
      </c>
      <c r="S3" s="13">
        <v>2140058.0</v>
      </c>
      <c r="T3" s="13">
        <v>2518979.0</v>
      </c>
      <c r="U3" s="13">
        <v>2151970.0</v>
      </c>
      <c r="V3" s="13">
        <v>2275409.0</v>
      </c>
      <c r="W3" s="13">
        <v>2237370.0</v>
      </c>
      <c r="X3" s="13">
        <v>1855301.0</v>
      </c>
      <c r="Y3" s="13">
        <v>2306682.0</v>
      </c>
      <c r="Z3" s="13">
        <v>2988591.0</v>
      </c>
      <c r="AA3" s="13">
        <v>3408075.0</v>
      </c>
      <c r="AB3" s="14">
        <f t="shared" si="3"/>
        <v>2330022.75</v>
      </c>
      <c r="AC3" s="13">
        <v>3478134.0</v>
      </c>
      <c r="AD3" s="13">
        <v>3230518.0</v>
      </c>
      <c r="AE3" s="13">
        <v>3056979.0</v>
      </c>
      <c r="AF3" s="13">
        <v>3031478.0</v>
      </c>
      <c r="AG3" s="13">
        <v>3308681.0</v>
      </c>
      <c r="AH3" s="13">
        <v>3023699.0</v>
      </c>
      <c r="AI3" s="13">
        <v>2947721.0</v>
      </c>
      <c r="AJ3" s="13">
        <v>2662418.0</v>
      </c>
      <c r="AK3" s="13">
        <v>2480623.0</v>
      </c>
      <c r="AL3" s="13">
        <v>2412923.0</v>
      </c>
      <c r="AM3" s="13">
        <v>2583212.0</v>
      </c>
      <c r="AN3" s="13">
        <v>2767131.0</v>
      </c>
      <c r="AO3" s="15">
        <f t="shared" si="4"/>
        <v>34983517</v>
      </c>
      <c r="AP3" s="13">
        <v>2906901.0</v>
      </c>
      <c r="AQ3" s="13">
        <v>2530773.0</v>
      </c>
      <c r="AR3" s="13">
        <v>2799776.0</v>
      </c>
      <c r="AS3" s="13">
        <v>2854986.0</v>
      </c>
      <c r="AT3" s="13">
        <v>2911901.0</v>
      </c>
      <c r="AU3" s="13">
        <v>2544840.0</v>
      </c>
      <c r="AV3" s="13"/>
      <c r="AW3" s="13"/>
      <c r="AX3" s="13"/>
      <c r="AY3" s="13"/>
      <c r="AZ3" s="13"/>
      <c r="BA3" s="13"/>
      <c r="BB3" s="15">
        <f t="shared" si="5"/>
        <v>16549177</v>
      </c>
      <c r="BC3" s="16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11"/>
      <c r="BY3" s="4"/>
      <c r="BZ3" s="4"/>
      <c r="CA3" s="4"/>
      <c r="CB3" s="4"/>
      <c r="CC3" s="4"/>
      <c r="CD3" s="4"/>
      <c r="CE3" s="4"/>
      <c r="CF3" s="4"/>
      <c r="CG3" s="2"/>
      <c r="CH3" s="2"/>
      <c r="CI3" s="2"/>
    </row>
    <row r="4" ht="12.0" customHeight="1">
      <c r="A4" s="6"/>
      <c r="B4" s="17" t="s">
        <v>3</v>
      </c>
      <c r="C4" s="18">
        <f t="shared" ref="C4:AP4" si="6">C3/C2</f>
        <v>0.3815444369</v>
      </c>
      <c r="D4" s="18">
        <f t="shared" si="6"/>
        <v>0.5221348811</v>
      </c>
      <c r="E4" s="18">
        <f t="shared" si="6"/>
        <v>0.6695983704</v>
      </c>
      <c r="F4" s="18">
        <f t="shared" si="6"/>
        <v>0.4901235875</v>
      </c>
      <c r="G4" s="18">
        <f t="shared" si="6"/>
        <v>0.3464114399</v>
      </c>
      <c r="H4" s="18">
        <f t="shared" si="6"/>
        <v>0.3512900612</v>
      </c>
      <c r="I4" s="18">
        <f t="shared" si="6"/>
        <v>0.2594261991</v>
      </c>
      <c r="J4" s="18">
        <f t="shared" si="6"/>
        <v>0.3272376089</v>
      </c>
      <c r="K4" s="18">
        <f t="shared" si="6"/>
        <v>0.3158347104</v>
      </c>
      <c r="L4" s="18">
        <f t="shared" si="6"/>
        <v>0.3138477697</v>
      </c>
      <c r="M4" s="18">
        <f t="shared" si="6"/>
        <v>0.530143859</v>
      </c>
      <c r="N4" s="18">
        <f t="shared" si="6"/>
        <v>0.6781686025</v>
      </c>
      <c r="O4" s="19">
        <f t="shared" si="6"/>
        <v>0.4328219817</v>
      </c>
      <c r="P4" s="18">
        <f t="shared" si="6"/>
        <v>0.7497082574</v>
      </c>
      <c r="Q4" s="18">
        <f t="shared" si="6"/>
        <v>0.6283674139</v>
      </c>
      <c r="R4" s="18">
        <f t="shared" si="6"/>
        <v>0.5959731147</v>
      </c>
      <c r="S4" s="18">
        <f t="shared" si="6"/>
        <v>0.6030046286</v>
      </c>
      <c r="T4" s="18">
        <f t="shared" si="6"/>
        <v>0.6708808134</v>
      </c>
      <c r="U4" s="18">
        <f t="shared" si="6"/>
        <v>0.612806525</v>
      </c>
      <c r="V4" s="18">
        <f t="shared" si="6"/>
        <v>0.6907067316</v>
      </c>
      <c r="W4" s="18">
        <f t="shared" si="6"/>
        <v>0.6805528813</v>
      </c>
      <c r="X4" s="18">
        <f t="shared" si="6"/>
        <v>0.724282962</v>
      </c>
      <c r="Y4" s="18">
        <f t="shared" si="6"/>
        <v>0.6878544303</v>
      </c>
      <c r="Z4" s="18">
        <f t="shared" si="6"/>
        <v>0.8534803002</v>
      </c>
      <c r="AA4" s="18">
        <f t="shared" si="6"/>
        <v>0.9020335804</v>
      </c>
      <c r="AB4" s="19">
        <f t="shared" si="6"/>
        <v>0.7025139803</v>
      </c>
      <c r="AC4" s="18">
        <f t="shared" si="6"/>
        <v>0.9175301925</v>
      </c>
      <c r="AD4" s="18">
        <f t="shared" si="6"/>
        <v>0.932973835</v>
      </c>
      <c r="AE4" s="18">
        <f t="shared" si="6"/>
        <v>0.8637293076</v>
      </c>
      <c r="AF4" s="18">
        <f t="shared" si="6"/>
        <v>0.9008683941</v>
      </c>
      <c r="AG4" s="18">
        <f t="shared" si="6"/>
        <v>0.9176887767</v>
      </c>
      <c r="AH4" s="18">
        <f t="shared" si="6"/>
        <v>0.8906248573</v>
      </c>
      <c r="AI4" s="18">
        <f t="shared" si="6"/>
        <v>0.8991153795</v>
      </c>
      <c r="AJ4" s="18">
        <f t="shared" si="6"/>
        <v>0.86107832</v>
      </c>
      <c r="AK4" s="18">
        <f t="shared" si="6"/>
        <v>0.8264324674</v>
      </c>
      <c r="AL4" s="18">
        <f t="shared" si="6"/>
        <v>0.7765893797</v>
      </c>
      <c r="AM4" s="18">
        <f t="shared" si="6"/>
        <v>0.8448716607</v>
      </c>
      <c r="AN4" s="18">
        <f t="shared" si="6"/>
        <v>0.8822549842</v>
      </c>
      <c r="AO4" s="19">
        <f t="shared" si="6"/>
        <v>0.8782934671</v>
      </c>
      <c r="AP4" s="18">
        <f t="shared" si="6"/>
        <v>0.9326241897</v>
      </c>
      <c r="AQ4" s="18">
        <f t="shared" ref="AQ4:BA4" si="7">IFERROR(AQ3/AQ2,0)</f>
        <v>0.9328473933</v>
      </c>
      <c r="AR4" s="18">
        <f t="shared" si="7"/>
        <v>0.931767528</v>
      </c>
      <c r="AS4" s="18">
        <f t="shared" si="7"/>
        <v>0.9224847305</v>
      </c>
      <c r="AT4" s="18">
        <f t="shared" si="7"/>
        <v>0.9011674724</v>
      </c>
      <c r="AU4" s="18">
        <f t="shared" si="7"/>
        <v>0.8907435253</v>
      </c>
      <c r="AV4" s="18">
        <f t="shared" si="7"/>
        <v>0</v>
      </c>
      <c r="AW4" s="18">
        <f t="shared" si="7"/>
        <v>0</v>
      </c>
      <c r="AX4" s="18">
        <f t="shared" si="7"/>
        <v>0</v>
      </c>
      <c r="AY4" s="18">
        <f t="shared" si="7"/>
        <v>0</v>
      </c>
      <c r="AZ4" s="18">
        <f t="shared" si="7"/>
        <v>0</v>
      </c>
      <c r="BA4" s="18">
        <f t="shared" si="7"/>
        <v>0</v>
      </c>
      <c r="BB4" s="19">
        <f>BB3/BB2</f>
        <v>0.9184911509</v>
      </c>
      <c r="BC4" s="16"/>
      <c r="BD4" s="2"/>
      <c r="BE4" s="20" t="s">
        <v>4</v>
      </c>
      <c r="BF4" s="21"/>
      <c r="BG4" s="21"/>
      <c r="BH4" s="21"/>
      <c r="BI4" s="21"/>
      <c r="BJ4" s="21"/>
      <c r="BK4" s="21"/>
      <c r="BL4" s="22"/>
      <c r="BM4" s="2"/>
      <c r="BN4" s="20" t="s">
        <v>4</v>
      </c>
      <c r="BO4" s="21"/>
      <c r="BP4" s="21"/>
      <c r="BQ4" s="21"/>
      <c r="BR4" s="21"/>
      <c r="BS4" s="21"/>
      <c r="BT4" s="21"/>
      <c r="BU4" s="22"/>
      <c r="BV4" s="2"/>
      <c r="BW4" s="20" t="s">
        <v>4</v>
      </c>
      <c r="BX4" s="21"/>
      <c r="BY4" s="21"/>
      <c r="BZ4" s="21"/>
      <c r="CA4" s="21"/>
      <c r="CB4" s="21"/>
      <c r="CC4" s="21"/>
      <c r="CD4" s="22"/>
      <c r="CE4" s="2"/>
      <c r="CF4" s="2"/>
      <c r="CG4" s="2"/>
      <c r="CH4" s="2"/>
      <c r="CI4" s="2"/>
    </row>
    <row r="5" ht="12.0" customHeight="1">
      <c r="A5" s="6"/>
      <c r="B5" s="23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11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ht="12.0" customHeight="1">
      <c r="A6" s="24"/>
      <c r="B6" s="25" t="s">
        <v>5</v>
      </c>
      <c r="C6" s="26" t="s">
        <v>6</v>
      </c>
      <c r="D6" s="26" t="s">
        <v>7</v>
      </c>
      <c r="E6" s="26" t="s">
        <v>8</v>
      </c>
      <c r="F6" s="26" t="s">
        <v>9</v>
      </c>
      <c r="G6" s="26" t="s">
        <v>10</v>
      </c>
      <c r="H6" s="26" t="s">
        <v>11</v>
      </c>
      <c r="I6" s="26" t="s">
        <v>12</v>
      </c>
      <c r="J6" s="26" t="s">
        <v>13</v>
      </c>
      <c r="K6" s="26" t="s">
        <v>14</v>
      </c>
      <c r="L6" s="26" t="s">
        <v>15</v>
      </c>
      <c r="M6" s="26" t="s">
        <v>16</v>
      </c>
      <c r="N6" s="26" t="s">
        <v>17</v>
      </c>
      <c r="O6" s="27" t="s">
        <v>18</v>
      </c>
      <c r="P6" s="26" t="s">
        <v>19</v>
      </c>
      <c r="Q6" s="26" t="s">
        <v>20</v>
      </c>
      <c r="R6" s="26" t="s">
        <v>21</v>
      </c>
      <c r="S6" s="26" t="s">
        <v>22</v>
      </c>
      <c r="T6" s="28" t="s">
        <v>23</v>
      </c>
      <c r="U6" s="26" t="s">
        <v>24</v>
      </c>
      <c r="V6" s="26" t="s">
        <v>25</v>
      </c>
      <c r="W6" s="26" t="s">
        <v>26</v>
      </c>
      <c r="X6" s="29" t="s">
        <v>27</v>
      </c>
      <c r="Y6" s="29" t="s">
        <v>28</v>
      </c>
      <c r="Z6" s="29" t="s">
        <v>29</v>
      </c>
      <c r="AA6" s="29" t="s">
        <v>30</v>
      </c>
      <c r="AB6" s="30">
        <v>2023.0</v>
      </c>
      <c r="AC6" s="29" t="s">
        <v>31</v>
      </c>
      <c r="AD6" s="31" t="s">
        <v>32</v>
      </c>
      <c r="AE6" s="31" t="s">
        <v>33</v>
      </c>
      <c r="AF6" s="31" t="s">
        <v>34</v>
      </c>
      <c r="AG6" s="31" t="s">
        <v>35</v>
      </c>
      <c r="AH6" s="31" t="s">
        <v>36</v>
      </c>
      <c r="AI6" s="31" t="s">
        <v>37</v>
      </c>
      <c r="AJ6" s="31" t="s">
        <v>38</v>
      </c>
      <c r="AK6" s="31" t="s">
        <v>39</v>
      </c>
      <c r="AL6" s="31" t="s">
        <v>40</v>
      </c>
      <c r="AM6" s="31" t="s">
        <v>41</v>
      </c>
      <c r="AN6" s="31" t="s">
        <v>42</v>
      </c>
      <c r="AO6" s="30">
        <v>2024.0</v>
      </c>
      <c r="AP6" s="31" t="s">
        <v>43</v>
      </c>
      <c r="AQ6" s="31" t="s">
        <v>44</v>
      </c>
      <c r="AR6" s="31" t="s">
        <v>45</v>
      </c>
      <c r="AS6" s="31" t="s">
        <v>46</v>
      </c>
      <c r="AT6" s="31" t="s">
        <v>47</v>
      </c>
      <c r="AU6" s="31" t="s">
        <v>48</v>
      </c>
      <c r="AV6" s="31" t="s">
        <v>49</v>
      </c>
      <c r="AW6" s="31" t="s">
        <v>50</v>
      </c>
      <c r="AX6" s="31" t="s">
        <v>51</v>
      </c>
      <c r="AY6" s="31" t="s">
        <v>52</v>
      </c>
      <c r="AZ6" s="31" t="s">
        <v>53</v>
      </c>
      <c r="BA6" s="32" t="s">
        <v>54</v>
      </c>
      <c r="BB6" s="30">
        <v>2025.0</v>
      </c>
      <c r="BC6" s="16"/>
      <c r="BD6" s="2"/>
      <c r="BE6" s="33"/>
      <c r="BF6" s="33" t="s">
        <v>55</v>
      </c>
      <c r="BG6" s="34" t="s">
        <v>56</v>
      </c>
      <c r="BH6" s="22"/>
      <c r="BI6" s="34" t="s">
        <v>57</v>
      </c>
      <c r="BJ6" s="22"/>
      <c r="BK6" s="34" t="s">
        <v>58</v>
      </c>
      <c r="BL6" s="22"/>
      <c r="BM6" s="2"/>
      <c r="BN6" s="33"/>
      <c r="BO6" s="33" t="s">
        <v>55</v>
      </c>
      <c r="BP6" s="34" t="s">
        <v>56</v>
      </c>
      <c r="BQ6" s="22"/>
      <c r="BR6" s="34" t="s">
        <v>57</v>
      </c>
      <c r="BS6" s="22"/>
      <c r="BT6" s="34" t="s">
        <v>58</v>
      </c>
      <c r="BU6" s="22"/>
      <c r="BV6" s="2"/>
      <c r="BW6" s="33"/>
      <c r="BX6" s="33" t="s">
        <v>55</v>
      </c>
      <c r="BY6" s="34" t="s">
        <v>56</v>
      </c>
      <c r="BZ6" s="22"/>
      <c r="CA6" s="34" t="s">
        <v>57</v>
      </c>
      <c r="CB6" s="22"/>
      <c r="CC6" s="34" t="s">
        <v>58</v>
      </c>
      <c r="CD6" s="22"/>
      <c r="CE6" s="35"/>
      <c r="CF6" s="35"/>
      <c r="CG6" s="35"/>
      <c r="CH6" s="35"/>
      <c r="CI6" s="35"/>
    </row>
    <row r="7" ht="12.0" customHeight="1">
      <c r="A7" s="6"/>
      <c r="B7" s="36" t="s">
        <v>59</v>
      </c>
      <c r="C7" s="37">
        <v>31.0</v>
      </c>
      <c r="D7" s="37">
        <v>28.0</v>
      </c>
      <c r="E7" s="37">
        <v>31.0</v>
      </c>
      <c r="F7" s="37">
        <v>30.0</v>
      </c>
      <c r="G7" s="37">
        <v>31.0</v>
      </c>
      <c r="H7" s="37">
        <v>30.0</v>
      </c>
      <c r="I7" s="37">
        <v>31.0</v>
      </c>
      <c r="J7" s="37">
        <v>31.0</v>
      </c>
      <c r="K7" s="37">
        <v>30.0</v>
      </c>
      <c r="L7" s="37">
        <v>31.0</v>
      </c>
      <c r="M7" s="37">
        <v>30.0</v>
      </c>
      <c r="N7" s="38">
        <v>31.0</v>
      </c>
      <c r="O7" s="39">
        <f>SUM(C7:N7)</f>
        <v>365</v>
      </c>
      <c r="P7" s="40">
        <v>31.0</v>
      </c>
      <c r="Q7" s="37">
        <v>28.0</v>
      </c>
      <c r="R7" s="37">
        <v>31.0</v>
      </c>
      <c r="S7" s="37">
        <v>30.0</v>
      </c>
      <c r="T7" s="38">
        <v>31.0</v>
      </c>
      <c r="U7" s="37">
        <v>30.0</v>
      </c>
      <c r="V7" s="37">
        <v>31.0</v>
      </c>
      <c r="W7" s="37">
        <v>31.0</v>
      </c>
      <c r="X7" s="37">
        <v>30.0</v>
      </c>
      <c r="Y7" s="37">
        <v>31.0</v>
      </c>
      <c r="Z7" s="37">
        <v>30.0</v>
      </c>
      <c r="AA7" s="37">
        <v>31.0</v>
      </c>
      <c r="AB7" s="39">
        <f>SUM(P7:AA7)</f>
        <v>365</v>
      </c>
      <c r="AC7" s="37">
        <v>31.0</v>
      </c>
      <c r="AD7" s="37">
        <v>29.0</v>
      </c>
      <c r="AE7" s="37">
        <v>31.0</v>
      </c>
      <c r="AF7" s="41">
        <v>30.0</v>
      </c>
      <c r="AG7" s="41">
        <v>31.0</v>
      </c>
      <c r="AH7" s="41">
        <v>30.0</v>
      </c>
      <c r="AI7" s="41">
        <v>31.0</v>
      </c>
      <c r="AJ7" s="41">
        <v>31.0</v>
      </c>
      <c r="AK7" s="41">
        <v>30.0</v>
      </c>
      <c r="AL7" s="41">
        <v>31.0</v>
      </c>
      <c r="AM7" s="41">
        <v>30.0</v>
      </c>
      <c r="AN7" s="41">
        <v>31.0</v>
      </c>
      <c r="AO7" s="39">
        <f>SUM(AC7:AN7)</f>
        <v>366</v>
      </c>
      <c r="AP7" s="41">
        <v>31.0</v>
      </c>
      <c r="AQ7" s="41">
        <v>28.0</v>
      </c>
      <c r="AR7" s="41">
        <v>31.0</v>
      </c>
      <c r="AS7" s="37">
        <v>30.0</v>
      </c>
      <c r="AT7" s="41">
        <v>31.0</v>
      </c>
      <c r="AU7" s="41">
        <v>30.0</v>
      </c>
      <c r="AV7" s="37">
        <v>31.0</v>
      </c>
      <c r="AW7" s="37">
        <v>31.0</v>
      </c>
      <c r="AX7" s="37">
        <v>30.0</v>
      </c>
      <c r="AY7" s="37">
        <v>31.0</v>
      </c>
      <c r="AZ7" s="37">
        <v>30.0</v>
      </c>
      <c r="BA7" s="38">
        <v>31.0</v>
      </c>
      <c r="BB7" s="39">
        <f>SUM(AP7:AU7)</f>
        <v>181</v>
      </c>
      <c r="BC7" s="2"/>
      <c r="BD7" s="2"/>
      <c r="BE7" s="42" t="s">
        <v>60</v>
      </c>
      <c r="BF7" s="43" t="s">
        <v>61</v>
      </c>
      <c r="BG7" s="44" t="s">
        <v>62</v>
      </c>
      <c r="BH7" s="45" t="s">
        <v>63</v>
      </c>
      <c r="BI7" s="44" t="s">
        <v>62</v>
      </c>
      <c r="BJ7" s="45" t="s">
        <v>63</v>
      </c>
      <c r="BK7" s="44" t="s">
        <v>62</v>
      </c>
      <c r="BL7" s="45" t="s">
        <v>63</v>
      </c>
      <c r="BM7" s="2"/>
      <c r="BN7" s="42" t="s">
        <v>60</v>
      </c>
      <c r="BO7" s="43" t="s">
        <v>61</v>
      </c>
      <c r="BP7" s="44" t="s">
        <v>62</v>
      </c>
      <c r="BQ7" s="45" t="s">
        <v>63</v>
      </c>
      <c r="BR7" s="44" t="s">
        <v>62</v>
      </c>
      <c r="BS7" s="45" t="s">
        <v>63</v>
      </c>
      <c r="BT7" s="44" t="s">
        <v>62</v>
      </c>
      <c r="BU7" s="45" t="s">
        <v>63</v>
      </c>
      <c r="BV7" s="2"/>
      <c r="BW7" s="42" t="s">
        <v>60</v>
      </c>
      <c r="BX7" s="43" t="s">
        <v>61</v>
      </c>
      <c r="BY7" s="44" t="s">
        <v>62</v>
      </c>
      <c r="BZ7" s="45" t="s">
        <v>63</v>
      </c>
      <c r="CA7" s="44" t="s">
        <v>62</v>
      </c>
      <c r="CB7" s="45" t="s">
        <v>63</v>
      </c>
      <c r="CC7" s="44" t="s">
        <v>62</v>
      </c>
      <c r="CD7" s="45" t="s">
        <v>63</v>
      </c>
      <c r="CE7" s="2"/>
      <c r="CF7" s="2"/>
      <c r="CG7" s="2"/>
      <c r="CH7" s="2"/>
      <c r="CI7" s="2"/>
    </row>
    <row r="8" ht="12.0" customHeight="1">
      <c r="A8" s="6"/>
      <c r="B8" s="36" t="s">
        <v>64</v>
      </c>
      <c r="C8" s="37">
        <v>75.0</v>
      </c>
      <c r="D8" s="37">
        <v>75.0</v>
      </c>
      <c r="E8" s="37">
        <v>75.0</v>
      </c>
      <c r="F8" s="37">
        <v>75.0</v>
      </c>
      <c r="G8" s="37">
        <v>75.0</v>
      </c>
      <c r="H8" s="37">
        <v>75.0</v>
      </c>
      <c r="I8" s="37">
        <v>75.0</v>
      </c>
      <c r="J8" s="37">
        <v>75.0</v>
      </c>
      <c r="K8" s="37">
        <v>75.0</v>
      </c>
      <c r="L8" s="37">
        <v>75.0</v>
      </c>
      <c r="M8" s="37">
        <v>75.0</v>
      </c>
      <c r="N8" s="37">
        <v>75.0</v>
      </c>
      <c r="O8" s="15">
        <v>75.0</v>
      </c>
      <c r="P8" s="37">
        <v>75.0</v>
      </c>
      <c r="Q8" s="37">
        <v>75.0</v>
      </c>
      <c r="R8" s="37">
        <v>75.0</v>
      </c>
      <c r="S8" s="37">
        <v>75.0</v>
      </c>
      <c r="T8" s="38">
        <v>75.0</v>
      </c>
      <c r="U8" s="37">
        <v>75.0</v>
      </c>
      <c r="V8" s="37">
        <v>75.0</v>
      </c>
      <c r="W8" s="37">
        <v>75.0</v>
      </c>
      <c r="X8" s="37">
        <v>75.0</v>
      </c>
      <c r="Y8" s="37">
        <v>75.0</v>
      </c>
      <c r="Z8" s="37">
        <v>75.0</v>
      </c>
      <c r="AA8" s="37">
        <v>75.0</v>
      </c>
      <c r="AB8" s="39">
        <v>75.0</v>
      </c>
      <c r="AC8" s="37">
        <v>75.0</v>
      </c>
      <c r="AD8" s="37">
        <v>75.0</v>
      </c>
      <c r="AE8" s="37">
        <v>75.0</v>
      </c>
      <c r="AF8" s="37">
        <v>75.0</v>
      </c>
      <c r="AG8" s="37">
        <v>75.0</v>
      </c>
      <c r="AH8" s="37">
        <v>75.0</v>
      </c>
      <c r="AI8" s="37">
        <v>75.0</v>
      </c>
      <c r="AJ8" s="37">
        <v>69.0</v>
      </c>
      <c r="AK8" s="37">
        <v>69.0</v>
      </c>
      <c r="AL8" s="37">
        <v>69.0</v>
      </c>
      <c r="AM8" s="37">
        <v>69.0</v>
      </c>
      <c r="AN8" s="37">
        <v>69.0</v>
      </c>
      <c r="AO8" s="39">
        <v>69.0</v>
      </c>
      <c r="AP8" s="37">
        <v>68.0</v>
      </c>
      <c r="AQ8" s="37">
        <v>68.0</v>
      </c>
      <c r="AR8" s="37">
        <v>67.0</v>
      </c>
      <c r="AS8" s="37">
        <v>67.0</v>
      </c>
      <c r="AT8" s="37">
        <v>68.0</v>
      </c>
      <c r="AU8" s="37">
        <f t="shared" ref="AU8:BB8" si="8">AT8</f>
        <v>68</v>
      </c>
      <c r="AV8" s="37">
        <f t="shared" si="8"/>
        <v>68</v>
      </c>
      <c r="AW8" s="37">
        <f t="shared" si="8"/>
        <v>68</v>
      </c>
      <c r="AX8" s="37">
        <f t="shared" si="8"/>
        <v>68</v>
      </c>
      <c r="AY8" s="37">
        <f t="shared" si="8"/>
        <v>68</v>
      </c>
      <c r="AZ8" s="37">
        <f t="shared" si="8"/>
        <v>68</v>
      </c>
      <c r="BA8" s="37">
        <f t="shared" si="8"/>
        <v>68</v>
      </c>
      <c r="BB8" s="39">
        <f t="shared" si="8"/>
        <v>68</v>
      </c>
      <c r="BC8" s="2"/>
      <c r="BD8" s="2"/>
      <c r="BE8" s="46" t="s">
        <v>65</v>
      </c>
      <c r="BF8" s="41">
        <f t="shared" ref="BF8:BK8" si="9">BF18</f>
        <v>33648838</v>
      </c>
      <c r="BG8" s="41">
        <f t="shared" si="9"/>
        <v>38119920</v>
      </c>
      <c r="BH8" s="41">
        <f t="shared" si="9"/>
        <v>40415410</v>
      </c>
      <c r="BI8" s="41">
        <f t="shared" si="9"/>
        <v>41241237.5</v>
      </c>
      <c r="BJ8" s="41">
        <f t="shared" si="9"/>
        <v>40270754</v>
      </c>
      <c r="BK8" s="41">
        <f t="shared" si="9"/>
        <v>42885002.5</v>
      </c>
      <c r="BL8" s="41"/>
      <c r="BM8" s="2"/>
      <c r="BN8" s="46" t="s">
        <v>66</v>
      </c>
      <c r="BO8" s="41" t="str">
        <f t="shared" ref="BO8:BS8" si="10">BO18/365/1000</f>
        <v>#REF!</v>
      </c>
      <c r="BP8" s="41">
        <f t="shared" si="10"/>
        <v>3.129498293</v>
      </c>
      <c r="BQ8" s="41">
        <f t="shared" si="10"/>
        <v>0.000001369863014</v>
      </c>
      <c r="BR8" s="41">
        <f t="shared" si="10"/>
        <v>3.711275746</v>
      </c>
      <c r="BS8" s="41">
        <f t="shared" si="10"/>
        <v>0.00002030136986</v>
      </c>
      <c r="BT8" s="41">
        <f>BT18</f>
        <v>168.5625</v>
      </c>
      <c r="BU8" s="41"/>
      <c r="BV8" s="2"/>
      <c r="BW8" s="46" t="s">
        <v>66</v>
      </c>
      <c r="BX8" s="41">
        <f t="shared" ref="BX8:CB8" si="11">BX18/365/1000</f>
        <v>92.18859726</v>
      </c>
      <c r="BY8" s="41">
        <f t="shared" si="11"/>
        <v>104.438137</v>
      </c>
      <c r="BZ8" s="41">
        <f t="shared" si="11"/>
        <v>110.7271507</v>
      </c>
      <c r="CA8" s="41">
        <f t="shared" si="11"/>
        <v>112.9896918</v>
      </c>
      <c r="CB8" s="41">
        <f t="shared" si="11"/>
        <v>110.3308329</v>
      </c>
      <c r="CC8" s="41">
        <f>CC18</f>
        <v>130.5</v>
      </c>
      <c r="CD8" s="41"/>
      <c r="CE8" s="2"/>
      <c r="CF8" s="2"/>
      <c r="CG8" s="2"/>
      <c r="CH8" s="2"/>
      <c r="CI8" s="2"/>
    </row>
    <row r="9" ht="12.0" customHeight="1">
      <c r="A9" s="6"/>
      <c r="B9" s="36" t="s">
        <v>67</v>
      </c>
      <c r="C9" s="37">
        <v>174000.0</v>
      </c>
      <c r="D9" s="37">
        <v>174000.0</v>
      </c>
      <c r="E9" s="37">
        <v>174000.0</v>
      </c>
      <c r="F9" s="37">
        <v>174000.0</v>
      </c>
      <c r="G9" s="37">
        <v>174000.0</v>
      </c>
      <c r="H9" s="37">
        <v>174000.0</v>
      </c>
      <c r="I9" s="37">
        <v>174000.0</v>
      </c>
      <c r="J9" s="37">
        <v>174000.0</v>
      </c>
      <c r="K9" s="37">
        <v>174000.0</v>
      </c>
      <c r="L9" s="37">
        <v>174000.0</v>
      </c>
      <c r="M9" s="37">
        <v>174000.0</v>
      </c>
      <c r="N9" s="37">
        <v>174000.0</v>
      </c>
      <c r="O9" s="39">
        <v>174000.0</v>
      </c>
      <c r="P9" s="37">
        <v>174000.0</v>
      </c>
      <c r="Q9" s="37">
        <v>174000.0</v>
      </c>
      <c r="R9" s="37">
        <v>174000.0</v>
      </c>
      <c r="S9" s="37">
        <v>174000.0</v>
      </c>
      <c r="T9" s="38">
        <v>174000.0</v>
      </c>
      <c r="U9" s="37">
        <v>174000.0</v>
      </c>
      <c r="V9" s="37">
        <v>174000.0</v>
      </c>
      <c r="W9" s="37">
        <v>174000.0</v>
      </c>
      <c r="X9" s="37">
        <v>174000.0</v>
      </c>
      <c r="Y9" s="37">
        <v>174000.0</v>
      </c>
      <c r="Z9" s="37">
        <v>174000.0</v>
      </c>
      <c r="AA9" s="37">
        <v>174000.0</v>
      </c>
      <c r="AB9" s="39">
        <v>174000.0</v>
      </c>
      <c r="AC9" s="37">
        <f>AA9</f>
        <v>174000</v>
      </c>
      <c r="AD9" s="37">
        <v>174000.0</v>
      </c>
      <c r="AE9" s="37">
        <v>174000.0</v>
      </c>
      <c r="AF9" s="37">
        <v>174000.0</v>
      </c>
      <c r="AG9" s="37">
        <v>174000.0</v>
      </c>
      <c r="AH9" s="37">
        <v>174000.0</v>
      </c>
      <c r="AI9" s="37">
        <v>174000.0</v>
      </c>
      <c r="AJ9" s="37">
        <v>159500.0</v>
      </c>
      <c r="AK9" s="37">
        <v>159500.0</v>
      </c>
      <c r="AL9" s="37">
        <v>161500.0</v>
      </c>
      <c r="AM9" s="37">
        <v>161500.0</v>
      </c>
      <c r="AN9" s="37">
        <v>161500.0</v>
      </c>
      <c r="AO9" s="39">
        <f>AVERAGE(AC9:AN9)</f>
        <v>168458.3333</v>
      </c>
      <c r="AP9" s="37">
        <v>159500.0</v>
      </c>
      <c r="AQ9" s="37">
        <v>153500.0</v>
      </c>
      <c r="AR9" s="37">
        <v>153500.0</v>
      </c>
      <c r="AS9" s="37">
        <v>159500.0</v>
      </c>
      <c r="AT9" s="37">
        <v>157500.0</v>
      </c>
      <c r="AU9" s="37">
        <f t="shared" ref="AU9:BA9" si="12">AT9</f>
        <v>157500</v>
      </c>
      <c r="AV9" s="37">
        <f t="shared" si="12"/>
        <v>157500</v>
      </c>
      <c r="AW9" s="37">
        <f t="shared" si="12"/>
        <v>157500</v>
      </c>
      <c r="AX9" s="37">
        <f t="shared" si="12"/>
        <v>157500</v>
      </c>
      <c r="AY9" s="37">
        <f t="shared" si="12"/>
        <v>157500</v>
      </c>
      <c r="AZ9" s="37">
        <f t="shared" si="12"/>
        <v>157500</v>
      </c>
      <c r="BA9" s="37">
        <f t="shared" si="12"/>
        <v>157500</v>
      </c>
      <c r="BB9" s="39">
        <f>AVERAGE(AP9:AU9)</f>
        <v>156833.3333</v>
      </c>
      <c r="BC9" s="16">
        <f>SUM(AC9:AE9)</f>
        <v>522000</v>
      </c>
      <c r="BD9" s="16">
        <f>SUM(AF9:AH9)</f>
        <v>522000</v>
      </c>
      <c r="BE9" s="46" t="s">
        <v>68</v>
      </c>
      <c r="BF9" s="41">
        <f>BF11*BF8</f>
        <v>7739232.74</v>
      </c>
      <c r="BG9" s="41">
        <f>AB28</f>
        <v>26819002.8</v>
      </c>
      <c r="BH9" s="41">
        <f>AB29</f>
        <v>28505796.56</v>
      </c>
      <c r="BI9" s="41">
        <f>AO28</f>
        <v>33008883.55</v>
      </c>
      <c r="BJ9" s="41">
        <f>AO29</f>
        <v>35380150.67</v>
      </c>
      <c r="BK9" s="41">
        <f>BB28</f>
        <v>36471685.74</v>
      </c>
      <c r="BL9" s="41"/>
      <c r="BM9" s="2"/>
      <c r="BN9" s="46" t="s">
        <v>69</v>
      </c>
      <c r="BO9" s="41" t="str">
        <f>BO11*BO8</f>
        <v>#REF!</v>
      </c>
      <c r="BP9" s="41">
        <f>SUM(E30:P30)/365/1000</f>
        <v>1.447714211</v>
      </c>
      <c r="BQ9" s="41">
        <f>SUM(E31:P31)/365/1000</f>
        <v>0.000001780821918</v>
      </c>
      <c r="BR9" s="41">
        <f>SUM(R30:AC30)/365/1000</f>
        <v>2.697087258</v>
      </c>
      <c r="BS9" s="41">
        <f>SUM(R31:AC31)/365/1000</f>
        <v>0.00002372203561</v>
      </c>
      <c r="BT9" s="41">
        <f>BT11*BT8</f>
        <v>143.278125</v>
      </c>
      <c r="BU9" s="41"/>
      <c r="BV9" s="2"/>
      <c r="BW9" s="46" t="s">
        <v>69</v>
      </c>
      <c r="BX9" s="41">
        <f>BX11*BX8</f>
        <v>21.20337737</v>
      </c>
      <c r="BY9" s="41">
        <f>SUM(P28:AA28)/365/1000</f>
        <v>73.47672</v>
      </c>
      <c r="BZ9" s="41">
        <f>SUM(P29:AA29)/365/1000</f>
        <v>78.09807276</v>
      </c>
      <c r="CA9" s="41">
        <f>SUM(AC28:AN28)/365/1000</f>
        <v>90.4352974</v>
      </c>
      <c r="CB9" s="41">
        <f>SUM(AC29:AN29)/365/1000</f>
        <v>96.93191964</v>
      </c>
      <c r="CC9" s="41">
        <f>CC11*CC8</f>
        <v>110.925</v>
      </c>
      <c r="CD9" s="41"/>
      <c r="CE9" s="2"/>
      <c r="CF9" s="2"/>
      <c r="CG9" s="2"/>
      <c r="CH9" s="16">
        <f>SUM(P29:AA29)</f>
        <v>28505796.56</v>
      </c>
      <c r="CI9" s="2" t="s">
        <v>70</v>
      </c>
    </row>
    <row r="10" ht="12.0" customHeight="1">
      <c r="A10" s="6"/>
      <c r="B10" s="36" t="s">
        <v>71</v>
      </c>
      <c r="C10" s="37">
        <f t="shared" ref="C10:BB10" si="13">C9/C8</f>
        <v>2320</v>
      </c>
      <c r="D10" s="37">
        <f t="shared" si="13"/>
        <v>2320</v>
      </c>
      <c r="E10" s="37">
        <f t="shared" si="13"/>
        <v>2320</v>
      </c>
      <c r="F10" s="37">
        <f t="shared" si="13"/>
        <v>2320</v>
      </c>
      <c r="G10" s="37">
        <f t="shared" si="13"/>
        <v>2320</v>
      </c>
      <c r="H10" s="37">
        <f t="shared" si="13"/>
        <v>2320</v>
      </c>
      <c r="I10" s="37">
        <f t="shared" si="13"/>
        <v>2320</v>
      </c>
      <c r="J10" s="37">
        <f t="shared" si="13"/>
        <v>2320</v>
      </c>
      <c r="K10" s="37">
        <f t="shared" si="13"/>
        <v>2320</v>
      </c>
      <c r="L10" s="37">
        <f t="shared" si="13"/>
        <v>2320</v>
      </c>
      <c r="M10" s="37">
        <f t="shared" si="13"/>
        <v>2320</v>
      </c>
      <c r="N10" s="37">
        <f t="shared" si="13"/>
        <v>2320</v>
      </c>
      <c r="O10" s="39">
        <f t="shared" si="13"/>
        <v>2320</v>
      </c>
      <c r="P10" s="37">
        <f t="shared" si="13"/>
        <v>2320</v>
      </c>
      <c r="Q10" s="37">
        <f t="shared" si="13"/>
        <v>2320</v>
      </c>
      <c r="R10" s="37">
        <f t="shared" si="13"/>
        <v>2320</v>
      </c>
      <c r="S10" s="37">
        <f t="shared" si="13"/>
        <v>2320</v>
      </c>
      <c r="T10" s="38">
        <f t="shared" si="13"/>
        <v>2320</v>
      </c>
      <c r="U10" s="37">
        <f t="shared" si="13"/>
        <v>2320</v>
      </c>
      <c r="V10" s="37">
        <f t="shared" si="13"/>
        <v>2320</v>
      </c>
      <c r="W10" s="37">
        <f t="shared" si="13"/>
        <v>2320</v>
      </c>
      <c r="X10" s="37">
        <f t="shared" si="13"/>
        <v>2320</v>
      </c>
      <c r="Y10" s="37">
        <f t="shared" si="13"/>
        <v>2320</v>
      </c>
      <c r="Z10" s="37">
        <f t="shared" si="13"/>
        <v>2320</v>
      </c>
      <c r="AA10" s="37">
        <f t="shared" si="13"/>
        <v>2320</v>
      </c>
      <c r="AB10" s="39">
        <f t="shared" si="13"/>
        <v>2320</v>
      </c>
      <c r="AC10" s="37">
        <f t="shared" si="13"/>
        <v>2320</v>
      </c>
      <c r="AD10" s="37">
        <f t="shared" si="13"/>
        <v>2320</v>
      </c>
      <c r="AE10" s="37">
        <f t="shared" si="13"/>
        <v>2320</v>
      </c>
      <c r="AF10" s="37">
        <f t="shared" si="13"/>
        <v>2320</v>
      </c>
      <c r="AG10" s="37">
        <f t="shared" si="13"/>
        <v>2320</v>
      </c>
      <c r="AH10" s="37">
        <f t="shared" si="13"/>
        <v>2320</v>
      </c>
      <c r="AI10" s="37">
        <f t="shared" si="13"/>
        <v>2320</v>
      </c>
      <c r="AJ10" s="37">
        <f t="shared" si="13"/>
        <v>2311.594203</v>
      </c>
      <c r="AK10" s="37">
        <f t="shared" si="13"/>
        <v>2311.594203</v>
      </c>
      <c r="AL10" s="37">
        <f t="shared" si="13"/>
        <v>2340.57971</v>
      </c>
      <c r="AM10" s="37">
        <f t="shared" si="13"/>
        <v>2340.57971</v>
      </c>
      <c r="AN10" s="37">
        <f t="shared" si="13"/>
        <v>2340.57971</v>
      </c>
      <c r="AO10" s="39">
        <f t="shared" si="13"/>
        <v>2441.425121</v>
      </c>
      <c r="AP10" s="37">
        <f t="shared" si="13"/>
        <v>2345.588235</v>
      </c>
      <c r="AQ10" s="37">
        <f t="shared" si="13"/>
        <v>2257.352941</v>
      </c>
      <c r="AR10" s="37">
        <f t="shared" si="13"/>
        <v>2291.044776</v>
      </c>
      <c r="AS10" s="37">
        <f t="shared" si="13"/>
        <v>2380.597015</v>
      </c>
      <c r="AT10" s="37">
        <f t="shared" si="13"/>
        <v>2316.176471</v>
      </c>
      <c r="AU10" s="37">
        <f t="shared" si="13"/>
        <v>2316.176471</v>
      </c>
      <c r="AV10" s="37">
        <f t="shared" si="13"/>
        <v>2316.176471</v>
      </c>
      <c r="AW10" s="37">
        <f t="shared" si="13"/>
        <v>2316.176471</v>
      </c>
      <c r="AX10" s="37">
        <f t="shared" si="13"/>
        <v>2316.176471</v>
      </c>
      <c r="AY10" s="37">
        <f t="shared" si="13"/>
        <v>2316.176471</v>
      </c>
      <c r="AZ10" s="37">
        <f t="shared" si="13"/>
        <v>2316.176471</v>
      </c>
      <c r="BA10" s="38">
        <f t="shared" si="13"/>
        <v>2316.176471</v>
      </c>
      <c r="BB10" s="39">
        <f t="shared" si="13"/>
        <v>2306.372549</v>
      </c>
      <c r="BC10" s="2"/>
      <c r="BD10" s="2"/>
      <c r="BE10" s="46" t="s">
        <v>72</v>
      </c>
      <c r="BF10" s="41">
        <f>BF9/O7</f>
        <v>21203.37737</v>
      </c>
      <c r="BG10" s="41">
        <f>BG9/AB7</f>
        <v>73476.72</v>
      </c>
      <c r="BH10" s="41">
        <f>BH9/AB7</f>
        <v>78098.07276</v>
      </c>
      <c r="BI10" s="41">
        <f>BI9/AO7</f>
        <v>90188.20642</v>
      </c>
      <c r="BJ10" s="41">
        <f>BJ9/AO7</f>
        <v>96667.07833</v>
      </c>
      <c r="BK10" s="41">
        <f>BK9/BB7</f>
        <v>201501.0262</v>
      </c>
      <c r="BL10" s="41"/>
      <c r="BM10" s="2"/>
      <c r="BN10" s="46" t="s">
        <v>72</v>
      </c>
      <c r="BO10" s="41" t="str">
        <f t="shared" ref="BO10:BS10" si="14">BO9/365*10^6</f>
        <v>#REF!</v>
      </c>
      <c r="BP10" s="41">
        <f t="shared" si="14"/>
        <v>3966.340305</v>
      </c>
      <c r="BQ10" s="41">
        <f t="shared" si="14"/>
        <v>0.004878964158</v>
      </c>
      <c r="BR10" s="41">
        <f t="shared" si="14"/>
        <v>7389.280158</v>
      </c>
      <c r="BS10" s="41">
        <f t="shared" si="14"/>
        <v>0.06499187839</v>
      </c>
      <c r="BT10" s="41">
        <f>(BT9/365)*10^6</f>
        <v>392542.8082</v>
      </c>
      <c r="BU10" s="41"/>
      <c r="BV10" s="2"/>
      <c r="BW10" s="46" t="s">
        <v>72</v>
      </c>
      <c r="BX10" s="41">
        <f t="shared" ref="BX10:CB10" si="15">BX9/365*10^6</f>
        <v>58091.44485</v>
      </c>
      <c r="BY10" s="41">
        <f t="shared" si="15"/>
        <v>201306.0822</v>
      </c>
      <c r="BZ10" s="41">
        <f t="shared" si="15"/>
        <v>213967.3226</v>
      </c>
      <c r="CA10" s="41">
        <f t="shared" si="15"/>
        <v>247767.9381</v>
      </c>
      <c r="CB10" s="41">
        <f t="shared" si="15"/>
        <v>265566.9031</v>
      </c>
      <c r="CC10" s="41">
        <f>(CC9/365)*10^6</f>
        <v>303904.1096</v>
      </c>
      <c r="CD10" s="41"/>
      <c r="CE10" s="2"/>
      <c r="CF10" s="2"/>
      <c r="CG10" s="2"/>
      <c r="CH10" s="16">
        <f>SUM(AC29:AK29)</f>
        <v>27616884.67</v>
      </c>
      <c r="CI10" s="2" t="s">
        <v>73</v>
      </c>
    </row>
    <row r="11" ht="12.0" customHeight="1">
      <c r="A11" s="47" t="s">
        <v>74</v>
      </c>
      <c r="B11" s="48" t="s">
        <v>75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>
        <f t="shared" ref="P11:AA11" si="16">P14*P9*P7</f>
        <v>2697000</v>
      </c>
      <c r="Q11" s="49">
        <f t="shared" si="16"/>
        <v>2679600</v>
      </c>
      <c r="R11" s="49">
        <f t="shared" si="16"/>
        <v>2912760</v>
      </c>
      <c r="S11" s="49">
        <f t="shared" si="16"/>
        <v>2975400</v>
      </c>
      <c r="T11" s="50">
        <f t="shared" si="16"/>
        <v>3236400</v>
      </c>
      <c r="U11" s="49">
        <f t="shared" si="16"/>
        <v>3288600</v>
      </c>
      <c r="V11" s="49">
        <f t="shared" si="16"/>
        <v>3344280</v>
      </c>
      <c r="W11" s="49">
        <f t="shared" si="16"/>
        <v>3344280</v>
      </c>
      <c r="X11" s="49">
        <f t="shared" si="16"/>
        <v>3184200</v>
      </c>
      <c r="Y11" s="49">
        <f t="shared" si="16"/>
        <v>3398220</v>
      </c>
      <c r="Z11" s="49">
        <f t="shared" si="16"/>
        <v>3445200</v>
      </c>
      <c r="AA11" s="49">
        <f t="shared" si="16"/>
        <v>3613980</v>
      </c>
      <c r="AB11" s="49">
        <f t="shared" ref="AB11:AB12" si="24">SUM(P11:AA11)</f>
        <v>38119920</v>
      </c>
      <c r="AC11" s="49">
        <f t="shared" ref="AC11:AN11" si="17">AC14*AC9*AC7</f>
        <v>3560040</v>
      </c>
      <c r="AD11" s="49">
        <f t="shared" si="17"/>
        <v>3229440</v>
      </c>
      <c r="AE11" s="49">
        <f t="shared" si="17"/>
        <v>3506100</v>
      </c>
      <c r="AF11" s="49">
        <f t="shared" si="17"/>
        <v>3445200</v>
      </c>
      <c r="AG11" s="49">
        <f t="shared" si="17"/>
        <v>3613980</v>
      </c>
      <c r="AH11" s="49">
        <f t="shared" si="17"/>
        <v>3393000</v>
      </c>
      <c r="AI11" s="49">
        <f t="shared" si="17"/>
        <v>3452160</v>
      </c>
      <c r="AJ11" s="49">
        <f t="shared" si="17"/>
        <v>3263370</v>
      </c>
      <c r="AK11" s="49">
        <f t="shared" si="17"/>
        <v>3253800</v>
      </c>
      <c r="AL11" s="49">
        <f t="shared" si="17"/>
        <v>3429452.5</v>
      </c>
      <c r="AM11" s="49">
        <f t="shared" si="17"/>
        <v>3439950</v>
      </c>
      <c r="AN11" s="49">
        <f t="shared" si="17"/>
        <v>3654745</v>
      </c>
      <c r="AO11" s="49">
        <f t="shared" ref="AO11:AO12" si="26">SUM(AC11:AN11)</f>
        <v>41241237.5</v>
      </c>
      <c r="AP11" s="49">
        <f t="shared" ref="AP11:BA11" si="18">AP14*AP9*AP7</f>
        <v>3386982.5</v>
      </c>
      <c r="AQ11" s="49">
        <f t="shared" si="18"/>
        <v>2987110</v>
      </c>
      <c r="AR11" s="49">
        <f t="shared" si="18"/>
        <v>3378535</v>
      </c>
      <c r="AS11" s="49">
        <f t="shared" si="18"/>
        <v>3445200</v>
      </c>
      <c r="AT11" s="49">
        <f t="shared" si="18"/>
        <v>3564225</v>
      </c>
      <c r="AU11" s="49">
        <f t="shared" si="18"/>
        <v>3520125</v>
      </c>
      <c r="AV11" s="49">
        <f t="shared" si="18"/>
        <v>3686287.5</v>
      </c>
      <c r="AW11" s="49">
        <f t="shared" si="18"/>
        <v>3735112.5</v>
      </c>
      <c r="AX11" s="49">
        <f t="shared" si="18"/>
        <v>3661875</v>
      </c>
      <c r="AY11" s="49">
        <f t="shared" si="18"/>
        <v>3832762.5</v>
      </c>
      <c r="AZ11" s="49">
        <f t="shared" si="18"/>
        <v>3756375</v>
      </c>
      <c r="BA11" s="50">
        <f t="shared" si="18"/>
        <v>3930412.5</v>
      </c>
      <c r="BB11" s="49">
        <f t="shared" ref="BB11:BB12" si="27">SUM(AP11:BA11)</f>
        <v>42885002.5</v>
      </c>
      <c r="BC11" s="2"/>
      <c r="BD11" s="2"/>
      <c r="BE11" s="51" t="s">
        <v>76</v>
      </c>
      <c r="BF11" s="52">
        <v>0.23</v>
      </c>
      <c r="BG11" s="52">
        <f t="shared" ref="BG11:BK11" si="19">BG9/BG8</f>
        <v>0.703542998</v>
      </c>
      <c r="BH11" s="52">
        <f t="shared" si="19"/>
        <v>0.7053199896</v>
      </c>
      <c r="BI11" s="52">
        <f t="shared" si="19"/>
        <v>0.80038538</v>
      </c>
      <c r="BJ11" s="52">
        <f t="shared" si="19"/>
        <v>0.8785569465</v>
      </c>
      <c r="BK11" s="52">
        <f t="shared" si="19"/>
        <v>0.8504531564</v>
      </c>
      <c r="BL11" s="53"/>
      <c r="BM11" s="2"/>
      <c r="BN11" s="51" t="s">
        <v>76</v>
      </c>
      <c r="BO11" s="52">
        <v>0.23</v>
      </c>
      <c r="BP11" s="52">
        <f t="shared" ref="BP11:BS11" si="20">BP9/BP8</f>
        <v>0.4626026525</v>
      </c>
      <c r="BQ11" s="52">
        <f t="shared" si="20"/>
        <v>1.3</v>
      </c>
      <c r="BR11" s="52">
        <f t="shared" si="20"/>
        <v>0.7267278</v>
      </c>
      <c r="BS11" s="52">
        <f t="shared" si="20"/>
        <v>1.168494332</v>
      </c>
      <c r="BT11" s="52">
        <v>0.85</v>
      </c>
      <c r="BU11" s="53"/>
      <c r="BV11" s="2"/>
      <c r="BW11" s="51" t="s">
        <v>76</v>
      </c>
      <c r="BX11" s="52">
        <v>0.23</v>
      </c>
      <c r="BY11" s="52">
        <f t="shared" ref="BY11:CB11" si="21">BY9/BY8</f>
        <v>0.703542998</v>
      </c>
      <c r="BZ11" s="52">
        <f t="shared" si="21"/>
        <v>0.7053199896</v>
      </c>
      <c r="CA11" s="52">
        <f t="shared" si="21"/>
        <v>0.80038538</v>
      </c>
      <c r="CB11" s="52">
        <f t="shared" si="21"/>
        <v>0.8785569465</v>
      </c>
      <c r="CC11" s="52">
        <v>0.85</v>
      </c>
      <c r="CD11" s="53"/>
      <c r="CE11" s="2"/>
      <c r="CF11" s="2"/>
      <c r="CG11" s="2"/>
      <c r="CH11" s="16">
        <f>CH10+CH9</f>
        <v>56122681.23</v>
      </c>
      <c r="CI11" s="2"/>
    </row>
    <row r="12" ht="12.0" customHeight="1">
      <c r="A12" s="54"/>
      <c r="B12" s="55" t="s">
        <v>77</v>
      </c>
      <c r="C12" s="56">
        <f t="shared" ref="C12:N12" si="22">C13*C7</f>
        <v>2539038</v>
      </c>
      <c r="D12" s="56">
        <f t="shared" si="22"/>
        <v>2283243</v>
      </c>
      <c r="E12" s="56">
        <f t="shared" si="22"/>
        <v>2644251</v>
      </c>
      <c r="F12" s="56">
        <f t="shared" si="22"/>
        <v>2748994</v>
      </c>
      <c r="G12" s="56">
        <f t="shared" si="22"/>
        <v>2941998</v>
      </c>
      <c r="H12" s="56">
        <f t="shared" si="22"/>
        <v>2859960</v>
      </c>
      <c r="I12" s="56">
        <f t="shared" si="22"/>
        <v>2796455</v>
      </c>
      <c r="J12" s="56">
        <f t="shared" si="22"/>
        <v>2709533</v>
      </c>
      <c r="K12" s="56">
        <f t="shared" si="22"/>
        <v>2695527</v>
      </c>
      <c r="L12" s="56">
        <f t="shared" si="22"/>
        <v>2938312</v>
      </c>
      <c r="M12" s="56">
        <f t="shared" si="22"/>
        <v>3115309</v>
      </c>
      <c r="N12" s="56">
        <f t="shared" si="22"/>
        <v>3376218</v>
      </c>
      <c r="O12" s="57">
        <f>SUM(C12:N12)</f>
        <v>33648838</v>
      </c>
      <c r="P12" s="56">
        <f t="shared" ref="P12:AA12" si="23">P13*P7</f>
        <v>3345210</v>
      </c>
      <c r="Q12" s="56">
        <f t="shared" si="23"/>
        <v>2861404</v>
      </c>
      <c r="R12" s="56">
        <f t="shared" si="23"/>
        <v>3303701</v>
      </c>
      <c r="S12" s="56">
        <f t="shared" si="23"/>
        <v>3305610</v>
      </c>
      <c r="T12" s="58">
        <f t="shared" si="23"/>
        <v>3522623</v>
      </c>
      <c r="U12" s="56">
        <f t="shared" si="23"/>
        <v>3314910</v>
      </c>
      <c r="V12" s="56">
        <f t="shared" si="23"/>
        <v>3113299</v>
      </c>
      <c r="W12" s="56">
        <f t="shared" si="23"/>
        <v>3146779</v>
      </c>
      <c r="X12" s="56">
        <f t="shared" si="23"/>
        <v>3284471</v>
      </c>
      <c r="Y12" s="56">
        <f t="shared" si="23"/>
        <v>3580841</v>
      </c>
      <c r="Z12" s="56">
        <f t="shared" si="23"/>
        <v>3694230</v>
      </c>
      <c r="AA12" s="56">
        <f t="shared" si="23"/>
        <v>3942332</v>
      </c>
      <c r="AB12" s="56">
        <f t="shared" si="24"/>
        <v>40415410</v>
      </c>
      <c r="AC12" s="56">
        <f t="shared" ref="AC12:AG12" si="25">AC13*AC7</f>
        <v>3899707</v>
      </c>
      <c r="AD12" s="56">
        <f t="shared" si="25"/>
        <v>3562592</v>
      </c>
      <c r="AE12" s="56">
        <f t="shared" si="25"/>
        <v>3653784</v>
      </c>
      <c r="AF12" s="56">
        <f t="shared" si="25"/>
        <v>3486150</v>
      </c>
      <c r="AG12" s="56">
        <f t="shared" si="25"/>
        <v>3600433</v>
      </c>
      <c r="AH12" s="56">
        <v>3395031.0</v>
      </c>
      <c r="AI12" s="56">
        <v>3278468.0</v>
      </c>
      <c r="AJ12" s="56">
        <v>3091958.0</v>
      </c>
      <c r="AK12" s="56">
        <v>3001604.0</v>
      </c>
      <c r="AL12" s="56">
        <v>3107077.0</v>
      </c>
      <c r="AM12" s="56">
        <v>3057520.0</v>
      </c>
      <c r="AN12" s="56">
        <v>3136430.0</v>
      </c>
      <c r="AO12" s="56">
        <f t="shared" si="26"/>
        <v>40270754</v>
      </c>
      <c r="AP12" s="56">
        <v>3116905.0</v>
      </c>
      <c r="AQ12" s="56">
        <v>2712955.0</v>
      </c>
      <c r="AR12" s="56">
        <v>3004801.0</v>
      </c>
      <c r="AS12" s="56">
        <v>3094887.0</v>
      </c>
      <c r="AT12" s="56">
        <v>3231254.0</v>
      </c>
      <c r="AU12" s="56">
        <v>2856984.0</v>
      </c>
      <c r="AV12" s="59"/>
      <c r="AW12" s="56"/>
      <c r="AX12" s="56"/>
      <c r="AY12" s="56"/>
      <c r="AZ12" s="56"/>
      <c r="BA12" s="58"/>
      <c r="BB12" s="56">
        <f t="shared" si="27"/>
        <v>18017786</v>
      </c>
      <c r="BC12" s="16">
        <f t="shared" ref="BC12:BC13" si="29">SUM(AC12:AE12)</f>
        <v>11116083</v>
      </c>
      <c r="BD12" s="16">
        <f t="shared" ref="BD12:BD13" si="30">SUM(AF12:AH12)</f>
        <v>10481614</v>
      </c>
      <c r="BE12" s="60" t="s">
        <v>78</v>
      </c>
      <c r="BF12" s="41"/>
      <c r="BG12" s="41"/>
      <c r="BH12" s="41"/>
      <c r="BI12" s="41"/>
      <c r="BJ12" s="41"/>
      <c r="BK12" s="41"/>
      <c r="BL12" s="41"/>
      <c r="BM12" s="2"/>
      <c r="BN12" s="60" t="s">
        <v>78</v>
      </c>
      <c r="BO12" s="41"/>
      <c r="BP12" s="41"/>
      <c r="BQ12" s="41"/>
      <c r="BR12" s="41"/>
      <c r="BS12" s="41"/>
      <c r="BT12" s="41"/>
      <c r="BU12" s="41"/>
      <c r="BV12" s="2"/>
      <c r="BW12" s="60" t="s">
        <v>78</v>
      </c>
      <c r="BX12" s="41"/>
      <c r="BY12" s="41"/>
      <c r="BZ12" s="41"/>
      <c r="CA12" s="41"/>
      <c r="CB12" s="41"/>
      <c r="CC12" s="41"/>
      <c r="CD12" s="41"/>
      <c r="CE12" s="2"/>
      <c r="CF12" s="2"/>
      <c r="CG12" s="2"/>
      <c r="CH12" s="2"/>
      <c r="CI12" s="2"/>
    </row>
    <row r="13" ht="12.0" customHeight="1">
      <c r="A13" s="54"/>
      <c r="B13" s="36" t="s">
        <v>79</v>
      </c>
      <c r="C13" s="37">
        <v>81904.4516129032</v>
      </c>
      <c r="D13" s="37">
        <v>81544.39285714284</v>
      </c>
      <c r="E13" s="37">
        <v>85298.41935483868</v>
      </c>
      <c r="F13" s="37">
        <v>91633.1333333333</v>
      </c>
      <c r="G13" s="37">
        <v>94903.1612903226</v>
      </c>
      <c r="H13" s="37">
        <v>95331.99999999999</v>
      </c>
      <c r="I13" s="37">
        <v>90208.22580645159</v>
      </c>
      <c r="J13" s="37">
        <v>87404.29032258067</v>
      </c>
      <c r="K13" s="37">
        <v>89850.89999999998</v>
      </c>
      <c r="L13" s="37">
        <v>94784.25806451618</v>
      </c>
      <c r="M13" s="37">
        <v>103843.63333333333</v>
      </c>
      <c r="N13" s="38">
        <v>108910.25806451617</v>
      </c>
      <c r="O13" s="39">
        <f>O12/O7</f>
        <v>92188.59726</v>
      </c>
      <c r="P13" s="40">
        <v>107910.0</v>
      </c>
      <c r="Q13" s="37">
        <v>102193.0</v>
      </c>
      <c r="R13" s="37">
        <v>106571.0</v>
      </c>
      <c r="S13" s="37">
        <v>110187.0</v>
      </c>
      <c r="T13" s="38">
        <v>113633.0</v>
      </c>
      <c r="U13" s="37">
        <v>110497.0</v>
      </c>
      <c r="V13" s="37">
        <v>100429.0</v>
      </c>
      <c r="W13" s="37">
        <v>101509.0</v>
      </c>
      <c r="X13" s="37">
        <v>109482.3666666667</v>
      </c>
      <c r="Y13" s="37">
        <v>115511.0</v>
      </c>
      <c r="Z13" s="37">
        <v>123141.0</v>
      </c>
      <c r="AA13" s="37">
        <v>127172.0</v>
      </c>
      <c r="AB13" s="39">
        <f t="shared" ref="AB13:AB14" si="31">AVERAGE(P13:AA13)</f>
        <v>110686.2806</v>
      </c>
      <c r="AC13" s="37">
        <v>125797.0</v>
      </c>
      <c r="AD13" s="37">
        <v>122848.0</v>
      </c>
      <c r="AE13" s="37">
        <v>117864.0</v>
      </c>
      <c r="AF13" s="37">
        <v>116205.0</v>
      </c>
      <c r="AG13" s="37">
        <v>116143.0</v>
      </c>
      <c r="AH13" s="37">
        <f t="shared" ref="AH13:BB13" si="28">AH12/AH7</f>
        <v>113167.7</v>
      </c>
      <c r="AI13" s="37">
        <f t="shared" si="28"/>
        <v>105757.0323</v>
      </c>
      <c r="AJ13" s="37">
        <f t="shared" si="28"/>
        <v>99740.58065</v>
      </c>
      <c r="AK13" s="37">
        <f t="shared" si="28"/>
        <v>100053.4667</v>
      </c>
      <c r="AL13" s="37">
        <f t="shared" si="28"/>
        <v>100228.2903</v>
      </c>
      <c r="AM13" s="37">
        <f t="shared" si="28"/>
        <v>101917.3333</v>
      </c>
      <c r="AN13" s="37">
        <f t="shared" si="28"/>
        <v>101175.1613</v>
      </c>
      <c r="AO13" s="39">
        <f t="shared" si="28"/>
        <v>110029.3825</v>
      </c>
      <c r="AP13" s="37">
        <f t="shared" si="28"/>
        <v>100545.3226</v>
      </c>
      <c r="AQ13" s="37">
        <f t="shared" si="28"/>
        <v>96891.25</v>
      </c>
      <c r="AR13" s="37">
        <f t="shared" si="28"/>
        <v>96929.06452</v>
      </c>
      <c r="AS13" s="37">
        <f t="shared" si="28"/>
        <v>103162.9</v>
      </c>
      <c r="AT13" s="37">
        <f t="shared" si="28"/>
        <v>104234</v>
      </c>
      <c r="AU13" s="37">
        <f t="shared" si="28"/>
        <v>95232.8</v>
      </c>
      <c r="AV13" s="37">
        <f t="shared" si="28"/>
        <v>0</v>
      </c>
      <c r="AW13" s="37">
        <f t="shared" si="28"/>
        <v>0</v>
      </c>
      <c r="AX13" s="37">
        <f t="shared" si="28"/>
        <v>0</v>
      </c>
      <c r="AY13" s="37">
        <f t="shared" si="28"/>
        <v>0</v>
      </c>
      <c r="AZ13" s="37">
        <f t="shared" si="28"/>
        <v>0</v>
      </c>
      <c r="BA13" s="37">
        <f t="shared" si="28"/>
        <v>0</v>
      </c>
      <c r="BB13" s="39">
        <f t="shared" si="28"/>
        <v>99545.77901</v>
      </c>
      <c r="BC13" s="16">
        <f t="shared" si="29"/>
        <v>366509</v>
      </c>
      <c r="BD13" s="16">
        <f t="shared" si="30"/>
        <v>345515.7</v>
      </c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</row>
    <row r="14" ht="12.0" customHeight="1">
      <c r="A14" s="54"/>
      <c r="B14" s="61" t="s">
        <v>80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3"/>
      <c r="P14" s="64">
        <v>0.5</v>
      </c>
      <c r="Q14" s="64">
        <v>0.55</v>
      </c>
      <c r="R14" s="64">
        <v>0.54</v>
      </c>
      <c r="S14" s="64">
        <v>0.57</v>
      </c>
      <c r="T14" s="65">
        <v>0.6</v>
      </c>
      <c r="U14" s="64">
        <v>0.63</v>
      </c>
      <c r="V14" s="64">
        <v>0.62</v>
      </c>
      <c r="W14" s="64">
        <v>0.62</v>
      </c>
      <c r="X14" s="64">
        <v>0.61</v>
      </c>
      <c r="Y14" s="64">
        <v>0.63</v>
      </c>
      <c r="Z14" s="64">
        <v>0.66</v>
      </c>
      <c r="AA14" s="64">
        <v>0.67</v>
      </c>
      <c r="AB14" s="64">
        <f t="shared" si="31"/>
        <v>0.6</v>
      </c>
      <c r="AC14" s="64">
        <v>0.66</v>
      </c>
      <c r="AD14" s="64">
        <v>0.64</v>
      </c>
      <c r="AE14" s="64">
        <v>0.65</v>
      </c>
      <c r="AF14" s="64">
        <v>0.66</v>
      </c>
      <c r="AG14" s="64">
        <v>0.67</v>
      </c>
      <c r="AH14" s="64">
        <v>0.65</v>
      </c>
      <c r="AI14" s="64">
        <v>0.64</v>
      </c>
      <c r="AJ14" s="64">
        <v>0.66</v>
      </c>
      <c r="AK14" s="64">
        <v>0.68</v>
      </c>
      <c r="AL14" s="64">
        <v>0.685</v>
      </c>
      <c r="AM14" s="64">
        <v>0.71</v>
      </c>
      <c r="AN14" s="64">
        <v>0.73</v>
      </c>
      <c r="AO14" s="64">
        <v>0.67</v>
      </c>
      <c r="AP14" s="64">
        <f>AO14+1.5%</f>
        <v>0.685</v>
      </c>
      <c r="AQ14" s="64">
        <f>AP14+1%</f>
        <v>0.695</v>
      </c>
      <c r="AR14" s="64">
        <f>AQ14+1.5%</f>
        <v>0.71</v>
      </c>
      <c r="AS14" s="64">
        <f t="shared" ref="AS14:AT14" si="32">AR14+1%</f>
        <v>0.72</v>
      </c>
      <c r="AT14" s="64">
        <f t="shared" si="32"/>
        <v>0.73</v>
      </c>
      <c r="AU14" s="64">
        <f>AT14+1.5%</f>
        <v>0.745</v>
      </c>
      <c r="AV14" s="64">
        <f t="shared" ref="AV14:BA14" si="33">AU14+1%</f>
        <v>0.755</v>
      </c>
      <c r="AW14" s="64">
        <f t="shared" si="33"/>
        <v>0.765</v>
      </c>
      <c r="AX14" s="64">
        <f t="shared" si="33"/>
        <v>0.775</v>
      </c>
      <c r="AY14" s="64">
        <f t="shared" si="33"/>
        <v>0.785</v>
      </c>
      <c r="AZ14" s="64">
        <f t="shared" si="33"/>
        <v>0.795</v>
      </c>
      <c r="BA14" s="65">
        <f t="shared" si="33"/>
        <v>0.805</v>
      </c>
      <c r="BB14" s="64">
        <f>AVERAGE(AP14:BA14)</f>
        <v>0.7470833333</v>
      </c>
      <c r="BC14" s="66">
        <f>AVERAGE(AC14:AE14)</f>
        <v>0.65</v>
      </c>
      <c r="BD14" s="66">
        <f>AVERAGE(AF14:AH14)</f>
        <v>0.66</v>
      </c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35"/>
      <c r="CF14" s="35"/>
      <c r="CG14" s="35"/>
      <c r="CH14" s="35"/>
      <c r="CI14" s="35"/>
    </row>
    <row r="15" ht="12.0" customHeight="1">
      <c r="A15" s="67"/>
      <c r="B15" s="68" t="s">
        <v>81</v>
      </c>
      <c r="C15" s="53">
        <f t="shared" ref="C15:AB15" si="34">C13/C9</f>
        <v>0.4707152392</v>
      </c>
      <c r="D15" s="53">
        <f t="shared" si="34"/>
        <v>0.468645936</v>
      </c>
      <c r="E15" s="53">
        <f t="shared" si="34"/>
        <v>0.4902208009</v>
      </c>
      <c r="F15" s="53">
        <f t="shared" si="34"/>
        <v>0.5266272031</v>
      </c>
      <c r="G15" s="53">
        <f t="shared" si="34"/>
        <v>0.5454204672</v>
      </c>
      <c r="H15" s="53">
        <f t="shared" si="34"/>
        <v>0.5478850575</v>
      </c>
      <c r="I15" s="53">
        <f t="shared" si="34"/>
        <v>0.5184380793</v>
      </c>
      <c r="J15" s="53">
        <f t="shared" si="34"/>
        <v>0.5023235076</v>
      </c>
      <c r="K15" s="53">
        <f t="shared" si="34"/>
        <v>0.5163844828</v>
      </c>
      <c r="L15" s="53">
        <f t="shared" si="34"/>
        <v>0.5447371153</v>
      </c>
      <c r="M15" s="53">
        <f t="shared" si="34"/>
        <v>0.5968024904</v>
      </c>
      <c r="N15" s="53">
        <f t="shared" si="34"/>
        <v>0.6259210234</v>
      </c>
      <c r="O15" s="53">
        <f t="shared" si="34"/>
        <v>0.5298195245</v>
      </c>
      <c r="P15" s="53">
        <f t="shared" si="34"/>
        <v>0.6201724138</v>
      </c>
      <c r="Q15" s="53">
        <f t="shared" si="34"/>
        <v>0.587316092</v>
      </c>
      <c r="R15" s="53">
        <f t="shared" si="34"/>
        <v>0.6124770115</v>
      </c>
      <c r="S15" s="53">
        <f t="shared" si="34"/>
        <v>0.6332586207</v>
      </c>
      <c r="T15" s="69">
        <f t="shared" si="34"/>
        <v>0.6530632184</v>
      </c>
      <c r="U15" s="53">
        <f t="shared" si="34"/>
        <v>0.6350402299</v>
      </c>
      <c r="V15" s="53">
        <f t="shared" si="34"/>
        <v>0.5771781609</v>
      </c>
      <c r="W15" s="53">
        <f t="shared" si="34"/>
        <v>0.5833850575</v>
      </c>
      <c r="X15" s="53">
        <f t="shared" si="34"/>
        <v>0.6292090038</v>
      </c>
      <c r="Y15" s="53">
        <f t="shared" si="34"/>
        <v>0.6638563218</v>
      </c>
      <c r="Z15" s="53">
        <f t="shared" si="34"/>
        <v>0.7077068966</v>
      </c>
      <c r="AA15" s="53">
        <f t="shared" si="34"/>
        <v>0.7308735632</v>
      </c>
      <c r="AB15" s="53">
        <f t="shared" si="34"/>
        <v>0.6361280492</v>
      </c>
      <c r="AC15" s="53">
        <f t="shared" ref="AC15:BB15" si="35">IFERROR(AC13/AC9,0)</f>
        <v>0.7229712644</v>
      </c>
      <c r="AD15" s="53">
        <f t="shared" si="35"/>
        <v>0.7060229885</v>
      </c>
      <c r="AE15" s="53">
        <f t="shared" si="35"/>
        <v>0.6773793103</v>
      </c>
      <c r="AF15" s="53">
        <f t="shared" si="35"/>
        <v>0.6678448276</v>
      </c>
      <c r="AG15" s="53">
        <f t="shared" si="35"/>
        <v>0.6674885057</v>
      </c>
      <c r="AH15" s="53">
        <f t="shared" si="35"/>
        <v>0.6503890805</v>
      </c>
      <c r="AI15" s="53">
        <f t="shared" si="35"/>
        <v>0.607799036</v>
      </c>
      <c r="AJ15" s="53">
        <f t="shared" si="35"/>
        <v>0.625332794</v>
      </c>
      <c r="AK15" s="53">
        <f t="shared" si="35"/>
        <v>0.6272944619</v>
      </c>
      <c r="AL15" s="53">
        <f t="shared" si="35"/>
        <v>0.6206086088</v>
      </c>
      <c r="AM15" s="53">
        <f t="shared" si="35"/>
        <v>0.6310670795</v>
      </c>
      <c r="AN15" s="53">
        <f t="shared" si="35"/>
        <v>0.6264715869</v>
      </c>
      <c r="AO15" s="53">
        <f t="shared" si="35"/>
        <v>0.6531548801</v>
      </c>
      <c r="AP15" s="53">
        <f t="shared" si="35"/>
        <v>0.630378198</v>
      </c>
      <c r="AQ15" s="53">
        <f t="shared" si="35"/>
        <v>0.631213355</v>
      </c>
      <c r="AR15" s="53">
        <f t="shared" si="35"/>
        <v>0.6314597037</v>
      </c>
      <c r="AS15" s="53">
        <f t="shared" si="35"/>
        <v>0.6467893417</v>
      </c>
      <c r="AT15" s="53">
        <f t="shared" si="35"/>
        <v>0.6618031746</v>
      </c>
      <c r="AU15" s="53">
        <f t="shared" si="35"/>
        <v>0.6046526984</v>
      </c>
      <c r="AV15" s="53">
        <f t="shared" si="35"/>
        <v>0</v>
      </c>
      <c r="AW15" s="53">
        <f t="shared" si="35"/>
        <v>0</v>
      </c>
      <c r="AX15" s="53">
        <f t="shared" si="35"/>
        <v>0</v>
      </c>
      <c r="AY15" s="53">
        <f t="shared" si="35"/>
        <v>0</v>
      </c>
      <c r="AZ15" s="53">
        <f t="shared" si="35"/>
        <v>0</v>
      </c>
      <c r="BA15" s="69">
        <f t="shared" si="35"/>
        <v>0</v>
      </c>
      <c r="BB15" s="53">
        <f t="shared" si="35"/>
        <v>0.6347233518</v>
      </c>
      <c r="BC15" s="66">
        <f t="shared" ref="BC15:BD15" si="36">BC13/BC9</f>
        <v>0.7021245211</v>
      </c>
      <c r="BD15" s="66">
        <f t="shared" si="36"/>
        <v>0.6619074713</v>
      </c>
      <c r="BE15" s="70"/>
      <c r="BF15" s="33" t="s">
        <v>55</v>
      </c>
      <c r="BG15" s="34" t="s">
        <v>56</v>
      </c>
      <c r="BH15" s="22"/>
      <c r="BI15" s="34" t="s">
        <v>57</v>
      </c>
      <c r="BJ15" s="22"/>
      <c r="BK15" s="34" t="s">
        <v>58</v>
      </c>
      <c r="BL15" s="22"/>
      <c r="BM15" s="2"/>
      <c r="BN15" s="70"/>
      <c r="BO15" s="33" t="s">
        <v>55</v>
      </c>
      <c r="BP15" s="34" t="s">
        <v>56</v>
      </c>
      <c r="BQ15" s="22"/>
      <c r="BR15" s="34" t="s">
        <v>57</v>
      </c>
      <c r="BS15" s="22"/>
      <c r="BT15" s="34" t="s">
        <v>58</v>
      </c>
      <c r="BU15" s="22"/>
      <c r="BV15" s="2"/>
      <c r="BW15" s="70"/>
      <c r="BX15" s="33" t="s">
        <v>55</v>
      </c>
      <c r="BY15" s="33" t="s">
        <v>56</v>
      </c>
      <c r="BZ15" s="71"/>
      <c r="CA15" s="34" t="s">
        <v>57</v>
      </c>
      <c r="CB15" s="72"/>
      <c r="CC15" s="34" t="s">
        <v>58</v>
      </c>
      <c r="CD15" s="22"/>
      <c r="CE15" s="35"/>
      <c r="CF15" s="35"/>
      <c r="CG15" s="35"/>
      <c r="CH15" s="35"/>
      <c r="CI15" s="35"/>
    </row>
    <row r="16" ht="12.0" customHeight="1">
      <c r="A16" s="6"/>
      <c r="B16" s="36" t="s">
        <v>82</v>
      </c>
      <c r="C16" s="37">
        <f t="shared" ref="C16:BA16" si="37">C17*C12</f>
        <v>1233464.66</v>
      </c>
      <c r="D16" s="37">
        <f t="shared" si="37"/>
        <v>937042.9272</v>
      </c>
      <c r="E16" s="37">
        <f t="shared" si="37"/>
        <v>786400.2474</v>
      </c>
      <c r="F16" s="37">
        <f t="shared" si="37"/>
        <v>1283230.399</v>
      </c>
      <c r="G16" s="37">
        <f t="shared" si="37"/>
        <v>1680175.058</v>
      </c>
      <c r="H16" s="37">
        <f t="shared" si="37"/>
        <v>1589851.764</v>
      </c>
      <c r="I16" s="37">
        <f t="shared" si="37"/>
        <v>1802874.539</v>
      </c>
      <c r="J16" s="37">
        <f t="shared" si="37"/>
        <v>1584534.898</v>
      </c>
      <c r="K16" s="37">
        <f t="shared" si="37"/>
        <v>1636454.442</v>
      </c>
      <c r="L16" s="37">
        <f t="shared" si="37"/>
        <v>1697462.842</v>
      </c>
      <c r="M16" s="37">
        <f t="shared" si="37"/>
        <v>1354224.822</v>
      </c>
      <c r="N16" s="37">
        <f t="shared" si="37"/>
        <v>958170.6684</v>
      </c>
      <c r="O16" s="39">
        <f t="shared" si="37"/>
        <v>16600654.23</v>
      </c>
      <c r="P16" s="37">
        <f t="shared" si="37"/>
        <v>910394.7267</v>
      </c>
      <c r="Q16" s="37">
        <f t="shared" si="37"/>
        <v>1060211.872</v>
      </c>
      <c r="R16" s="37">
        <f t="shared" si="37"/>
        <v>1373832.003</v>
      </c>
      <c r="S16" s="37">
        <f t="shared" si="37"/>
        <v>1175074.218</v>
      </c>
      <c r="T16" s="38">
        <f t="shared" si="37"/>
        <v>1039324.335</v>
      </c>
      <c r="U16" s="37">
        <f t="shared" si="37"/>
        <v>1090068.15</v>
      </c>
      <c r="V16" s="37">
        <f t="shared" si="37"/>
        <v>853601.8083</v>
      </c>
      <c r="W16" s="37">
        <f t="shared" si="37"/>
        <v>896454.463</v>
      </c>
      <c r="X16" s="37">
        <f t="shared" si="37"/>
        <v>215388.2807</v>
      </c>
      <c r="Y16" s="37">
        <f t="shared" si="37"/>
        <v>294504.0427</v>
      </c>
      <c r="Z16" s="37">
        <f t="shared" si="37"/>
        <v>261177.0008</v>
      </c>
      <c r="AA16" s="37">
        <f t="shared" si="37"/>
        <v>174336.6211</v>
      </c>
      <c r="AB16" s="39">
        <f t="shared" si="37"/>
        <v>9631254.245</v>
      </c>
      <c r="AC16" s="37">
        <f t="shared" si="37"/>
        <v>269206.0784</v>
      </c>
      <c r="AD16" s="37">
        <f t="shared" si="37"/>
        <v>161056.2635</v>
      </c>
      <c r="AE16" s="37">
        <f t="shared" si="37"/>
        <v>273337.0394</v>
      </c>
      <c r="AF16" s="37">
        <f t="shared" si="37"/>
        <v>255405.2508</v>
      </c>
      <c r="AG16" s="37">
        <f t="shared" si="37"/>
        <v>166600.8511</v>
      </c>
      <c r="AH16" s="37">
        <f t="shared" si="37"/>
        <v>223818</v>
      </c>
      <c r="AI16" s="37">
        <f t="shared" si="37"/>
        <v>176524</v>
      </c>
      <c r="AJ16" s="37">
        <f t="shared" si="37"/>
        <v>183676</v>
      </c>
      <c r="AK16" s="37">
        <f t="shared" si="37"/>
        <v>174228</v>
      </c>
      <c r="AL16" s="37">
        <f t="shared" si="37"/>
        <v>178685</v>
      </c>
      <c r="AM16" s="37">
        <f t="shared" si="37"/>
        <v>191554</v>
      </c>
      <c r="AN16" s="37">
        <f t="shared" si="37"/>
        <v>188074</v>
      </c>
      <c r="AO16" s="73">
        <f t="shared" si="37"/>
        <v>2436132.636</v>
      </c>
      <c r="AP16" s="37">
        <f t="shared" si="37"/>
        <v>98923</v>
      </c>
      <c r="AQ16" s="37">
        <f t="shared" si="37"/>
        <v>98389</v>
      </c>
      <c r="AR16" s="37">
        <f t="shared" si="37"/>
        <v>103530</v>
      </c>
      <c r="AS16" s="37">
        <f t="shared" si="37"/>
        <v>122081</v>
      </c>
      <c r="AT16" s="37">
        <f t="shared" si="37"/>
        <v>152757</v>
      </c>
      <c r="AU16" s="37">
        <f t="shared" si="37"/>
        <v>147718</v>
      </c>
      <c r="AV16" s="37">
        <f t="shared" si="37"/>
        <v>0</v>
      </c>
      <c r="AW16" s="37">
        <f t="shared" si="37"/>
        <v>0</v>
      </c>
      <c r="AX16" s="37">
        <f t="shared" si="37"/>
        <v>0</v>
      </c>
      <c r="AY16" s="37">
        <f t="shared" si="37"/>
        <v>0</v>
      </c>
      <c r="AZ16" s="37">
        <f t="shared" si="37"/>
        <v>0</v>
      </c>
      <c r="BA16" s="37">
        <f t="shared" si="37"/>
        <v>0</v>
      </c>
      <c r="BB16" s="39"/>
      <c r="BC16" s="2"/>
      <c r="BD16" s="2"/>
      <c r="BE16" s="42" t="s">
        <v>83</v>
      </c>
      <c r="BF16" s="45" t="s">
        <v>84</v>
      </c>
      <c r="BG16" s="44" t="s">
        <v>62</v>
      </c>
      <c r="BH16" s="45" t="s">
        <v>63</v>
      </c>
      <c r="BI16" s="44" t="s">
        <v>62</v>
      </c>
      <c r="BJ16" s="45" t="s">
        <v>63</v>
      </c>
      <c r="BK16" s="44" t="s">
        <v>62</v>
      </c>
      <c r="BL16" s="45" t="s">
        <v>63</v>
      </c>
      <c r="BM16" s="2"/>
      <c r="BN16" s="42" t="s">
        <v>83</v>
      </c>
      <c r="BO16" s="45" t="s">
        <v>84</v>
      </c>
      <c r="BP16" s="44" t="s">
        <v>62</v>
      </c>
      <c r="BQ16" s="45" t="s">
        <v>63</v>
      </c>
      <c r="BR16" s="44" t="s">
        <v>62</v>
      </c>
      <c r="BS16" s="45" t="s">
        <v>63</v>
      </c>
      <c r="BT16" s="44" t="s">
        <v>62</v>
      </c>
      <c r="BU16" s="45" t="s">
        <v>63</v>
      </c>
      <c r="BV16" s="2"/>
      <c r="BW16" s="42" t="s">
        <v>83</v>
      </c>
      <c r="BX16" s="45" t="s">
        <v>84</v>
      </c>
      <c r="BY16" s="44" t="s">
        <v>62</v>
      </c>
      <c r="BZ16" s="45" t="s">
        <v>63</v>
      </c>
      <c r="CA16" s="44" t="s">
        <v>62</v>
      </c>
      <c r="CB16" s="45" t="s">
        <v>63</v>
      </c>
      <c r="CC16" s="44" t="s">
        <v>62</v>
      </c>
      <c r="CD16" s="45" t="s">
        <v>63</v>
      </c>
      <c r="CE16" s="2"/>
      <c r="CF16" s="2"/>
      <c r="CG16" s="2"/>
      <c r="CH16" s="2"/>
      <c r="CI16" s="2"/>
    </row>
    <row r="17" ht="12.0" customHeight="1">
      <c r="A17" s="6"/>
      <c r="B17" s="36" t="s">
        <v>85</v>
      </c>
      <c r="C17" s="74">
        <v>0.4858</v>
      </c>
      <c r="D17" s="74">
        <v>0.4104</v>
      </c>
      <c r="E17" s="74">
        <v>0.2974</v>
      </c>
      <c r="F17" s="74">
        <v>0.4668</v>
      </c>
      <c r="G17" s="74">
        <v>0.5711</v>
      </c>
      <c r="H17" s="74">
        <v>0.5559</v>
      </c>
      <c r="I17" s="74">
        <v>0.6447</v>
      </c>
      <c r="J17" s="74">
        <v>0.5848</v>
      </c>
      <c r="K17" s="74">
        <v>0.6071</v>
      </c>
      <c r="L17" s="74">
        <v>0.5777</v>
      </c>
      <c r="M17" s="74">
        <v>0.4347</v>
      </c>
      <c r="N17" s="74">
        <v>0.2838</v>
      </c>
      <c r="O17" s="75">
        <f>AVERAGE(C17:N17)</f>
        <v>0.49335</v>
      </c>
      <c r="P17" s="76">
        <v>0.27214875199904687</v>
      </c>
      <c r="Q17" s="76">
        <v>0.37052155940248865</v>
      </c>
      <c r="R17" s="76">
        <v>0.4158463501266365</v>
      </c>
      <c r="S17" s="76">
        <v>0.3554787825610152</v>
      </c>
      <c r="T17" s="77">
        <v>0.2950427380474889</v>
      </c>
      <c r="U17" s="76">
        <v>0.3288379323414576</v>
      </c>
      <c r="V17" s="76">
        <v>0.2741791932781272</v>
      </c>
      <c r="W17" s="76">
        <v>0.28488001954022674</v>
      </c>
      <c r="X17" s="76">
        <v>0.0655777690652367</v>
      </c>
      <c r="Y17" s="76">
        <v>0.08224437854206644</v>
      </c>
      <c r="Z17" s="76">
        <v>0.07069863024652365</v>
      </c>
      <c r="AA17" s="76">
        <v>0.04422169951773497</v>
      </c>
      <c r="AB17" s="78">
        <f>AVERAGE(P17:AA17)</f>
        <v>0.2383064837</v>
      </c>
      <c r="AC17" s="76">
        <v>0.06903238587965412</v>
      </c>
      <c r="AD17" s="76">
        <v>0.04520760826464946</v>
      </c>
      <c r="AE17" s="76">
        <v>0.07480930438092052</v>
      </c>
      <c r="AF17" s="76">
        <v>0.07326284032805339</v>
      </c>
      <c r="AG17" s="76">
        <v>0.04627244865412084</v>
      </c>
      <c r="AH17" s="76">
        <v>0.06592517122818614</v>
      </c>
      <c r="AI17" s="79">
        <v>0.05384344150987595</v>
      </c>
      <c r="AJ17" s="74">
        <v>0.05940442916753721</v>
      </c>
      <c r="AK17" s="74">
        <v>0.058044965291890606</v>
      </c>
      <c r="AL17" s="74">
        <v>0.05750903501908707</v>
      </c>
      <c r="AM17" s="74">
        <v>0.06265012166723358</v>
      </c>
      <c r="AN17" s="74">
        <v>0.05996435437742911</v>
      </c>
      <c r="AO17" s="80">
        <f>AVERAGE(AC17:AN17)</f>
        <v>0.06049384215</v>
      </c>
      <c r="AP17" s="74">
        <v>0.03173757300912283</v>
      </c>
      <c r="AQ17" s="74">
        <v>0.036266359007060565</v>
      </c>
      <c r="AR17" s="74">
        <v>0.034454860737865835</v>
      </c>
      <c r="AS17" s="74">
        <v>0.03944602823948015</v>
      </c>
      <c r="AT17" s="74">
        <v>0.0472748350949817</v>
      </c>
      <c r="AU17" s="74">
        <v>0.051704174752116215</v>
      </c>
      <c r="AV17" s="74"/>
      <c r="AW17" s="74"/>
      <c r="AX17" s="74"/>
      <c r="AY17" s="74"/>
      <c r="AZ17" s="74"/>
      <c r="BA17" s="81"/>
      <c r="BB17" s="39"/>
      <c r="BC17" s="16">
        <f>AO11-AO12</f>
        <v>970483.5</v>
      </c>
      <c r="BD17" s="2"/>
      <c r="BE17" s="46" t="s">
        <v>86</v>
      </c>
      <c r="BF17" s="41">
        <f>O9</f>
        <v>174000</v>
      </c>
      <c r="BG17" s="41">
        <f>AB9</f>
        <v>174000</v>
      </c>
      <c r="BH17" s="41">
        <f>AO9</f>
        <v>168458.3333</v>
      </c>
      <c r="BI17" s="41">
        <f>AO9</f>
        <v>168458.3333</v>
      </c>
      <c r="BJ17" s="41">
        <f>AO9</f>
        <v>168458.3333</v>
      </c>
      <c r="BK17" s="41">
        <f>BB9</f>
        <v>156833.3333</v>
      </c>
      <c r="BL17" s="41"/>
      <c r="BM17" s="2"/>
      <c r="BN17" s="46" t="s">
        <v>86</v>
      </c>
      <c r="BO17" s="41" t="str">
        <f>C11</f>
        <v/>
      </c>
      <c r="BP17" s="41" t="str">
        <f>BO17</f>
        <v/>
      </c>
      <c r="BQ17" s="41">
        <f>SUM(E11:P11)/12</f>
        <v>224750</v>
      </c>
      <c r="BR17" s="41">
        <f>BQ17</f>
        <v>224750</v>
      </c>
      <c r="BS17" s="41">
        <f>AC11</f>
        <v>3560040</v>
      </c>
      <c r="BT17" s="41">
        <f>BR17</f>
        <v>224750</v>
      </c>
      <c r="BU17" s="41"/>
      <c r="BV17" s="2"/>
      <c r="BW17" s="46" t="s">
        <v>86</v>
      </c>
      <c r="BX17" s="41">
        <f>N9</f>
        <v>174000</v>
      </c>
      <c r="BY17" s="41">
        <f>BX17</f>
        <v>174000</v>
      </c>
      <c r="BZ17" s="41">
        <f>SUM(P9:AA9)/12</f>
        <v>174000</v>
      </c>
      <c r="CA17" s="41">
        <f>BZ17</f>
        <v>174000</v>
      </c>
      <c r="CB17" s="41">
        <f>AN9</f>
        <v>161500</v>
      </c>
      <c r="CC17" s="41">
        <f>CA17</f>
        <v>174000</v>
      </c>
      <c r="CD17" s="41"/>
      <c r="CE17" s="2"/>
      <c r="CF17" s="2"/>
      <c r="CG17" s="2"/>
      <c r="CH17" s="2"/>
      <c r="CI17" s="2"/>
    </row>
    <row r="18" ht="12.0" customHeight="1">
      <c r="A18" s="6"/>
      <c r="B18" s="36" t="s">
        <v>87</v>
      </c>
      <c r="C18" s="37">
        <f t="shared" ref="C18:BA18" si="38">C19*C12</f>
        <v>263806.0482</v>
      </c>
      <c r="D18" s="37">
        <f t="shared" si="38"/>
        <v>110737.2855</v>
      </c>
      <c r="E18" s="37">
        <f t="shared" si="38"/>
        <v>28557.9108</v>
      </c>
      <c r="F18" s="37">
        <f t="shared" si="38"/>
        <v>97314.3876</v>
      </c>
      <c r="G18" s="37">
        <f t="shared" si="38"/>
        <v>167105.4864</v>
      </c>
      <c r="H18" s="37">
        <f t="shared" si="38"/>
        <v>177317.52</v>
      </c>
      <c r="I18" s="37">
        <f t="shared" si="38"/>
        <v>191557.1675</v>
      </c>
      <c r="J18" s="37">
        <f t="shared" si="38"/>
        <v>188583.4968</v>
      </c>
      <c r="K18" s="37">
        <f t="shared" si="38"/>
        <v>176826.5712</v>
      </c>
      <c r="L18" s="37">
        <f t="shared" si="38"/>
        <v>221254.8936</v>
      </c>
      <c r="M18" s="37">
        <f t="shared" si="38"/>
        <v>62306.18</v>
      </c>
      <c r="N18" s="37">
        <f t="shared" si="38"/>
        <v>53006.6226</v>
      </c>
      <c r="O18" s="39">
        <f t="shared" si="38"/>
        <v>1772452.542</v>
      </c>
      <c r="P18" s="37">
        <f t="shared" si="38"/>
        <v>84823.41307</v>
      </c>
      <c r="Q18" s="37">
        <f t="shared" si="38"/>
        <v>95403.85018</v>
      </c>
      <c r="R18" s="37">
        <f t="shared" si="38"/>
        <v>97510.66862</v>
      </c>
      <c r="S18" s="37">
        <f t="shared" si="38"/>
        <v>113840.3184</v>
      </c>
      <c r="T18" s="38">
        <f t="shared" si="38"/>
        <v>156604.116</v>
      </c>
      <c r="U18" s="37">
        <f t="shared" si="38"/>
        <v>158164.3228</v>
      </c>
      <c r="V18" s="37">
        <f t="shared" si="38"/>
        <v>191543.795</v>
      </c>
      <c r="W18" s="37">
        <f t="shared" si="38"/>
        <v>166786.3883</v>
      </c>
      <c r="X18" s="37">
        <f t="shared" si="38"/>
        <v>24854.36793</v>
      </c>
      <c r="Y18" s="37">
        <f t="shared" si="38"/>
        <v>25135.17183</v>
      </c>
      <c r="Z18" s="37">
        <f t="shared" si="38"/>
        <v>19895.12074</v>
      </c>
      <c r="AA18" s="37">
        <f t="shared" si="38"/>
        <v>3999.498852</v>
      </c>
      <c r="AB18" s="39">
        <f t="shared" si="38"/>
        <v>1179911.972</v>
      </c>
      <c r="AC18" s="37">
        <f t="shared" si="38"/>
        <v>16529.80977</v>
      </c>
      <c r="AD18" s="37">
        <f t="shared" si="38"/>
        <v>5889.290978</v>
      </c>
      <c r="AE18" s="37">
        <f t="shared" si="38"/>
        <v>1483.490736</v>
      </c>
      <c r="AF18" s="37">
        <f t="shared" si="38"/>
        <v>0</v>
      </c>
      <c r="AG18" s="37">
        <f t="shared" si="38"/>
        <v>1611.754112</v>
      </c>
      <c r="AH18" s="37">
        <f t="shared" si="38"/>
        <v>0</v>
      </c>
      <c r="AI18" s="37">
        <f t="shared" si="38"/>
        <v>0</v>
      </c>
      <c r="AJ18" s="37">
        <f t="shared" si="38"/>
        <v>777</v>
      </c>
      <c r="AK18" s="37">
        <f t="shared" si="38"/>
        <v>1690</v>
      </c>
      <c r="AL18" s="37">
        <f t="shared" si="38"/>
        <v>10175</v>
      </c>
      <c r="AM18" s="37">
        <f t="shared" si="38"/>
        <v>2000</v>
      </c>
      <c r="AN18" s="37">
        <f t="shared" si="38"/>
        <v>0</v>
      </c>
      <c r="AO18" s="73">
        <f t="shared" si="38"/>
        <v>38554.98395</v>
      </c>
      <c r="AP18" s="37">
        <f t="shared" si="38"/>
        <v>1511</v>
      </c>
      <c r="AQ18" s="37">
        <f t="shared" si="38"/>
        <v>0</v>
      </c>
      <c r="AR18" s="37">
        <f t="shared" si="38"/>
        <v>1902</v>
      </c>
      <c r="AS18" s="37">
        <f t="shared" si="38"/>
        <v>2964</v>
      </c>
      <c r="AT18" s="37">
        <f t="shared" si="38"/>
        <v>2671</v>
      </c>
      <c r="AU18" s="37">
        <f t="shared" si="38"/>
        <v>306</v>
      </c>
      <c r="AV18" s="37">
        <f t="shared" si="38"/>
        <v>0</v>
      </c>
      <c r="AW18" s="37">
        <f t="shared" si="38"/>
        <v>0</v>
      </c>
      <c r="AX18" s="37">
        <f t="shared" si="38"/>
        <v>0</v>
      </c>
      <c r="AY18" s="37">
        <f t="shared" si="38"/>
        <v>0</v>
      </c>
      <c r="AZ18" s="37">
        <f t="shared" si="38"/>
        <v>0</v>
      </c>
      <c r="BA18" s="37">
        <f t="shared" si="38"/>
        <v>0</v>
      </c>
      <c r="BB18" s="39"/>
      <c r="BC18" s="2">
        <f>BC17/10</f>
        <v>97048.35</v>
      </c>
      <c r="BD18" s="2"/>
      <c r="BE18" s="46" t="s">
        <v>88</v>
      </c>
      <c r="BF18" s="41">
        <f>O12</f>
        <v>33648838</v>
      </c>
      <c r="BG18" s="41">
        <f>AB11</f>
        <v>38119920</v>
      </c>
      <c r="BH18" s="41">
        <f>AB12</f>
        <v>40415410</v>
      </c>
      <c r="BI18" s="41">
        <f>AO11</f>
        <v>41241237.5</v>
      </c>
      <c r="BJ18" s="41">
        <f>AO12</f>
        <v>40270754</v>
      </c>
      <c r="BK18" s="41">
        <f>BB11</f>
        <v>42885002.5</v>
      </c>
      <c r="BL18" s="41"/>
      <c r="BM18" s="2"/>
      <c r="BN18" s="46" t="s">
        <v>66</v>
      </c>
      <c r="BO18" s="41" t="str">
        <f>SUM(#REF!)</f>
        <v>#REF!</v>
      </c>
      <c r="BP18" s="41">
        <f>SUM(E13:P13)</f>
        <v>1142266.877</v>
      </c>
      <c r="BQ18" s="41">
        <f>SUM(E14:P14)</f>
        <v>0.5</v>
      </c>
      <c r="BR18" s="41">
        <f>SUM(R13:AC13)</f>
        <v>1354615.647</v>
      </c>
      <c r="BS18" s="41">
        <f>SUM(R14:AC14)</f>
        <v>7.41</v>
      </c>
      <c r="BT18" s="41">
        <f>BT19*365/365/1000</f>
        <v>168.5625</v>
      </c>
      <c r="BU18" s="41"/>
      <c r="BV18" s="2"/>
      <c r="BW18" s="46" t="s">
        <v>66</v>
      </c>
      <c r="BX18" s="41">
        <f>SUM(C12:N12)</f>
        <v>33648838</v>
      </c>
      <c r="BY18" s="41">
        <f>SUM(P11:AA11)</f>
        <v>38119920</v>
      </c>
      <c r="BZ18" s="41">
        <f>SUM(P12:AA12)</f>
        <v>40415410</v>
      </c>
      <c r="CA18" s="41">
        <f>SUM(AC11:AN11)</f>
        <v>41241237.5</v>
      </c>
      <c r="CB18" s="41">
        <f>SUM(AC12:AN12)</f>
        <v>40270754</v>
      </c>
      <c r="CC18" s="41">
        <f>CC19*365/365/1000</f>
        <v>130.5</v>
      </c>
      <c r="CD18" s="41"/>
      <c r="CE18" s="2"/>
      <c r="CF18" s="2"/>
      <c r="CG18" s="2"/>
      <c r="CH18" s="2"/>
      <c r="CI18" s="2"/>
    </row>
    <row r="19" ht="12.0" customHeight="1">
      <c r="A19" s="6"/>
      <c r="B19" s="36" t="s">
        <v>89</v>
      </c>
      <c r="C19" s="74">
        <v>0.1039</v>
      </c>
      <c r="D19" s="74">
        <v>0.0485</v>
      </c>
      <c r="E19" s="74">
        <v>0.0108</v>
      </c>
      <c r="F19" s="74">
        <v>0.0354</v>
      </c>
      <c r="G19" s="74">
        <v>0.0568</v>
      </c>
      <c r="H19" s="74">
        <v>0.062</v>
      </c>
      <c r="I19" s="74">
        <v>0.0685</v>
      </c>
      <c r="J19" s="74">
        <v>0.0696</v>
      </c>
      <c r="K19" s="74">
        <v>0.0656</v>
      </c>
      <c r="L19" s="74">
        <v>0.0753</v>
      </c>
      <c r="M19" s="74">
        <v>0.02</v>
      </c>
      <c r="N19" s="74">
        <v>0.0157</v>
      </c>
      <c r="O19" s="75">
        <f>AVERAGE(C19:N19)</f>
        <v>0.052675</v>
      </c>
      <c r="P19" s="76">
        <v>0.025356678076699248</v>
      </c>
      <c r="Q19" s="76">
        <v>0.03334162186910428</v>
      </c>
      <c r="R19" s="76">
        <v>0.029515585284923013</v>
      </c>
      <c r="S19" s="76">
        <v>0.03443852069503699</v>
      </c>
      <c r="T19" s="77">
        <v>0.044456677889831875</v>
      </c>
      <c r="U19" s="76">
        <v>0.04771300662962249</v>
      </c>
      <c r="V19" s="76">
        <v>0.06152438135943078</v>
      </c>
      <c r="W19" s="76">
        <v>0.05300225667718201</v>
      </c>
      <c r="X19" s="79">
        <v>0.007567236225074997</v>
      </c>
      <c r="Y19" s="76">
        <v>0.007019348759260999</v>
      </c>
      <c r="Z19" s="76">
        <v>0.0053854580637938895</v>
      </c>
      <c r="AA19" s="76">
        <v>0.0010145007706023985</v>
      </c>
      <c r="AB19" s="78">
        <f>AVERAGE(P19:AA19)</f>
        <v>0.02919460603</v>
      </c>
      <c r="AC19" s="76">
        <v>0.004238731208568632</v>
      </c>
      <c r="AD19" s="76">
        <v>0.0016530916192240347</v>
      </c>
      <c r="AE19" s="76">
        <v>4.060148973844673E-4</v>
      </c>
      <c r="AF19" s="76">
        <v>0.0</v>
      </c>
      <c r="AG19" s="76">
        <v>4.476556324453258E-4</v>
      </c>
      <c r="AH19" s="74">
        <v>0.0</v>
      </c>
      <c r="AI19" s="74">
        <v>0.0</v>
      </c>
      <c r="AJ19" s="79">
        <v>2.5129707453982233E-4</v>
      </c>
      <c r="AK19" s="79">
        <v>5.630322987309452E-4</v>
      </c>
      <c r="AL19" s="79">
        <v>0.0032747820540012366</v>
      </c>
      <c r="AM19" s="79">
        <v>6.54124911693137E-4</v>
      </c>
      <c r="AN19" s="79">
        <v>0.0</v>
      </c>
      <c r="AO19" s="80">
        <f>AVERAGE(AC19:AN19)</f>
        <v>0.0009573941414</v>
      </c>
      <c r="AP19" s="79">
        <v>4.8477576313682967E-4</v>
      </c>
      <c r="AQ19" s="74">
        <v>0.0</v>
      </c>
      <c r="AR19" s="74">
        <v>6.329870097886683E-4</v>
      </c>
      <c r="AS19" s="74">
        <v>9.577086336270113E-4</v>
      </c>
      <c r="AT19" s="74">
        <v>8.266140637659559E-4</v>
      </c>
      <c r="AU19" s="74">
        <v>1.0710595509110306E-4</v>
      </c>
      <c r="AV19" s="74"/>
      <c r="AW19" s="74"/>
      <c r="AX19" s="74"/>
      <c r="AY19" s="74"/>
      <c r="AZ19" s="74"/>
      <c r="BA19" s="81"/>
      <c r="BB19" s="39"/>
      <c r="BC19" s="2"/>
      <c r="BD19" s="2"/>
      <c r="BE19" s="46" t="s">
        <v>90</v>
      </c>
      <c r="BF19" s="41">
        <f>BF18/O7</f>
        <v>92188.59726</v>
      </c>
      <c r="BG19" s="41">
        <f>BG18/AB7</f>
        <v>104438.137</v>
      </c>
      <c r="BH19" s="41">
        <f>BH18/AB7</f>
        <v>110727.1507</v>
      </c>
      <c r="BI19" s="41">
        <f>BI18/AO7</f>
        <v>112680.9768</v>
      </c>
      <c r="BJ19" s="41">
        <f>BJ18/AO7</f>
        <v>110029.3825</v>
      </c>
      <c r="BK19" s="41">
        <f>BK18/BB7</f>
        <v>236933.7155</v>
      </c>
      <c r="BL19" s="41"/>
      <c r="BM19" s="2"/>
      <c r="BN19" s="46" t="s">
        <v>91</v>
      </c>
      <c r="BO19" s="41" t="str">
        <f t="shared" ref="BO19:BS19" si="39">BO18/365</f>
        <v>#REF!</v>
      </c>
      <c r="BP19" s="41">
        <f t="shared" si="39"/>
        <v>3129.498293</v>
      </c>
      <c r="BQ19" s="41">
        <f t="shared" si="39"/>
        <v>0.001369863014</v>
      </c>
      <c r="BR19" s="41">
        <f t="shared" si="39"/>
        <v>3711.275746</v>
      </c>
      <c r="BS19" s="41">
        <f t="shared" si="39"/>
        <v>0.02030136986</v>
      </c>
      <c r="BT19" s="41">
        <f>BT20*BT17</f>
        <v>168562.5</v>
      </c>
      <c r="BU19" s="41">
        <f>BU18/365*10^6</f>
        <v>0</v>
      </c>
      <c r="BV19" s="2"/>
      <c r="BW19" s="46" t="s">
        <v>91</v>
      </c>
      <c r="BX19" s="41">
        <f t="shared" ref="BX19:CB19" si="40">BX18/365</f>
        <v>92188.59726</v>
      </c>
      <c r="BY19" s="41">
        <f t="shared" si="40"/>
        <v>104438.137</v>
      </c>
      <c r="BZ19" s="41">
        <f t="shared" si="40"/>
        <v>110727.1507</v>
      </c>
      <c r="CA19" s="41">
        <f t="shared" si="40"/>
        <v>112989.6918</v>
      </c>
      <c r="CB19" s="41">
        <f t="shared" si="40"/>
        <v>110330.8329</v>
      </c>
      <c r="CC19" s="41">
        <f>CC20*CC17</f>
        <v>130500</v>
      </c>
      <c r="CD19" s="41">
        <f>CD18/365*10^6</f>
        <v>0</v>
      </c>
      <c r="CE19" s="2"/>
      <c r="CF19" s="2"/>
      <c r="CG19" s="5"/>
      <c r="CH19" s="2"/>
      <c r="CI19" s="2"/>
    </row>
    <row r="20" ht="12.0" customHeight="1">
      <c r="A20" s="6"/>
      <c r="B20" s="36" t="s">
        <v>92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9"/>
      <c r="P20" s="37"/>
      <c r="Q20" s="37"/>
      <c r="R20" s="37"/>
      <c r="S20" s="37"/>
      <c r="T20" s="38"/>
      <c r="U20" s="37"/>
      <c r="V20" s="37"/>
      <c r="W20" s="37"/>
      <c r="X20" s="37">
        <f t="shared" ref="X20:BA20" si="41">X21*X12</f>
        <v>118560.8742</v>
      </c>
      <c r="Y20" s="37">
        <f t="shared" si="41"/>
        <v>146546.1992</v>
      </c>
      <c r="Z20" s="37">
        <f t="shared" si="41"/>
        <v>129033.4358</v>
      </c>
      <c r="AA20" s="37">
        <f t="shared" si="41"/>
        <v>96698.5539</v>
      </c>
      <c r="AB20" s="39">
        <f t="shared" si="41"/>
        <v>1378964.849</v>
      </c>
      <c r="AC20" s="37">
        <f t="shared" si="41"/>
        <v>87501.61994</v>
      </c>
      <c r="AD20" s="37">
        <f t="shared" si="41"/>
        <v>32570.12495</v>
      </c>
      <c r="AE20" s="37">
        <f t="shared" si="41"/>
        <v>49800.69109</v>
      </c>
      <c r="AF20" s="37">
        <f t="shared" si="41"/>
        <v>21930.74284</v>
      </c>
      <c r="AG20" s="37">
        <f t="shared" si="41"/>
        <v>29020.56149</v>
      </c>
      <c r="AH20" s="37">
        <f t="shared" si="41"/>
        <v>9957</v>
      </c>
      <c r="AI20" s="37">
        <f t="shared" si="41"/>
        <v>2036</v>
      </c>
      <c r="AJ20" s="37">
        <f t="shared" si="41"/>
        <v>481</v>
      </c>
      <c r="AK20" s="37">
        <f t="shared" si="41"/>
        <v>4382</v>
      </c>
      <c r="AL20" s="37">
        <f t="shared" si="41"/>
        <v>11425</v>
      </c>
      <c r="AM20" s="37">
        <f t="shared" si="41"/>
        <v>2679</v>
      </c>
      <c r="AN20" s="37">
        <f t="shared" si="41"/>
        <v>54456</v>
      </c>
      <c r="AO20" s="73">
        <f t="shared" si="41"/>
        <v>290775.8501</v>
      </c>
      <c r="AP20" s="37">
        <f t="shared" si="41"/>
        <v>33106</v>
      </c>
      <c r="AQ20" s="37">
        <f t="shared" si="41"/>
        <v>11312</v>
      </c>
      <c r="AR20" s="37">
        <f t="shared" si="41"/>
        <v>2495</v>
      </c>
      <c r="AS20" s="37">
        <f t="shared" si="41"/>
        <v>9344</v>
      </c>
      <c r="AT20" s="37">
        <f t="shared" si="41"/>
        <v>5604</v>
      </c>
      <c r="AU20" s="37">
        <f t="shared" si="41"/>
        <v>31312</v>
      </c>
      <c r="AV20" s="37">
        <f t="shared" si="41"/>
        <v>0</v>
      </c>
      <c r="AW20" s="37">
        <f t="shared" si="41"/>
        <v>0</v>
      </c>
      <c r="AX20" s="37">
        <f t="shared" si="41"/>
        <v>0</v>
      </c>
      <c r="AY20" s="37">
        <f t="shared" si="41"/>
        <v>0</v>
      </c>
      <c r="AZ20" s="37">
        <f t="shared" si="41"/>
        <v>0</v>
      </c>
      <c r="BA20" s="37">
        <f t="shared" si="41"/>
        <v>0</v>
      </c>
      <c r="BB20" s="39"/>
      <c r="BC20" s="2"/>
      <c r="BD20" s="2"/>
      <c r="BE20" s="51" t="s">
        <v>93</v>
      </c>
      <c r="BF20" s="52">
        <f t="shared" ref="BF20:BJ20" si="42">BF19/BF17</f>
        <v>0.5298195245</v>
      </c>
      <c r="BG20" s="52">
        <f t="shared" si="42"/>
        <v>0.6002191781</v>
      </c>
      <c r="BH20" s="52">
        <f t="shared" si="42"/>
        <v>0.6572969618</v>
      </c>
      <c r="BI20" s="52">
        <f t="shared" si="42"/>
        <v>0.6688952369</v>
      </c>
      <c r="BJ20" s="52">
        <f t="shared" si="42"/>
        <v>0.6531548801</v>
      </c>
      <c r="BK20" s="52">
        <v>0.75</v>
      </c>
      <c r="BL20" s="82"/>
      <c r="BM20" s="2"/>
      <c r="BN20" s="51" t="s">
        <v>93</v>
      </c>
      <c r="BO20" s="52" t="str">
        <f t="shared" ref="BO20:BS20" si="43">BO19/BO17</f>
        <v>#REF!</v>
      </c>
      <c r="BP20" s="52" t="str">
        <f t="shared" si="43"/>
        <v>#DIV/0!</v>
      </c>
      <c r="BQ20" s="52">
        <f t="shared" si="43"/>
        <v>0.000000006095052341</v>
      </c>
      <c r="BR20" s="52">
        <f t="shared" si="43"/>
        <v>0.01651290654</v>
      </c>
      <c r="BS20" s="52">
        <f t="shared" si="43"/>
        <v>0.00000000570256791</v>
      </c>
      <c r="BT20" s="52">
        <v>0.75</v>
      </c>
      <c r="BU20" s="82"/>
      <c r="BV20" s="2"/>
      <c r="BW20" s="51" t="s">
        <v>93</v>
      </c>
      <c r="BX20" s="52">
        <f t="shared" ref="BX20:CB20" si="44">BX19/BX17</f>
        <v>0.5298195245</v>
      </c>
      <c r="BY20" s="52">
        <f t="shared" si="44"/>
        <v>0.6002191781</v>
      </c>
      <c r="BZ20" s="52">
        <f t="shared" si="44"/>
        <v>0.636362935</v>
      </c>
      <c r="CA20" s="52">
        <f t="shared" si="44"/>
        <v>0.6493660447</v>
      </c>
      <c r="CB20" s="52">
        <f t="shared" si="44"/>
        <v>0.6831630519</v>
      </c>
      <c r="CC20" s="52">
        <v>0.75</v>
      </c>
      <c r="CD20" s="82"/>
      <c r="CE20" s="2"/>
      <c r="CF20" s="2"/>
      <c r="CG20" s="5"/>
      <c r="CH20" s="2"/>
      <c r="CI20" s="2"/>
    </row>
    <row r="21" ht="12.0" customHeight="1">
      <c r="A21" s="6"/>
      <c r="B21" s="36" t="s">
        <v>94</v>
      </c>
      <c r="C21" s="83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5"/>
      <c r="P21" s="74"/>
      <c r="Q21" s="74"/>
      <c r="R21" s="74"/>
      <c r="S21" s="74"/>
      <c r="T21" s="81"/>
      <c r="U21" s="74"/>
      <c r="V21" s="74"/>
      <c r="W21" s="74"/>
      <c r="X21" s="76">
        <v>0.036097403259790786</v>
      </c>
      <c r="Y21" s="76">
        <v>0.04092507853863713</v>
      </c>
      <c r="Z21" s="76">
        <v>0.03492837095176791</v>
      </c>
      <c r="AA21" s="74">
        <v>0.024528262435177688</v>
      </c>
      <c r="AB21" s="78">
        <f>AVERAGE(P21:AA21)</f>
        <v>0.0341197788</v>
      </c>
      <c r="AC21" s="76">
        <v>0.02243799853169169</v>
      </c>
      <c r="AD21" s="76">
        <v>0.009142255118475898</v>
      </c>
      <c r="AE21" s="76">
        <v>0.01362989467628859</v>
      </c>
      <c r="AF21" s="76">
        <v>0.006290820198855177</v>
      </c>
      <c r="AG21" s="76">
        <v>0.008060297605014631</v>
      </c>
      <c r="AH21" s="76">
        <v>0.0029328156355567887</v>
      </c>
      <c r="AI21" s="76">
        <v>6.210217699242452E-4</v>
      </c>
      <c r="AJ21" s="79">
        <v>1.5556485566750906E-4</v>
      </c>
      <c r="AK21" s="79">
        <v>0.0014598861142242614</v>
      </c>
      <c r="AL21" s="79">
        <v>0.003677089431642666</v>
      </c>
      <c r="AM21" s="79">
        <v>8.762003192129569E-4</v>
      </c>
      <c r="AN21" s="79">
        <v>0.01736241523005455</v>
      </c>
      <c r="AO21" s="80">
        <f>AVERAGE(AC21:AN21)</f>
        <v>0.007220521624</v>
      </c>
      <c r="AP21" s="79">
        <v>0.01062143376201713</v>
      </c>
      <c r="AQ21" s="74">
        <v>0.004169623159986067</v>
      </c>
      <c r="AR21" s="74">
        <v>8.30337849328458E-4</v>
      </c>
      <c r="AS21" s="74">
        <v>0.003019173236373412</v>
      </c>
      <c r="AT21" s="74">
        <v>0.0017343111993052853</v>
      </c>
      <c r="AU21" s="74">
        <v>0.010959809365400716</v>
      </c>
      <c r="AV21" s="74"/>
      <c r="AW21" s="74"/>
      <c r="AX21" s="74"/>
      <c r="AY21" s="74"/>
      <c r="AZ21" s="74"/>
      <c r="BA21" s="81"/>
      <c r="BB21" s="39"/>
      <c r="BC21" s="2"/>
      <c r="BD21" s="2"/>
      <c r="BE21" s="5"/>
      <c r="BF21" s="5"/>
      <c r="BG21" s="5"/>
      <c r="BH21" s="5"/>
      <c r="BI21" s="5"/>
      <c r="BJ21" s="5"/>
      <c r="BK21" s="5"/>
      <c r="BL21" s="5"/>
      <c r="BM21" s="2"/>
      <c r="BN21" s="5"/>
      <c r="BO21" s="5"/>
      <c r="BP21" s="5"/>
      <c r="BQ21" s="5"/>
      <c r="BR21" s="5"/>
      <c r="BS21" s="5"/>
      <c r="BT21" s="5"/>
      <c r="BU21" s="5"/>
      <c r="BV21" s="2"/>
      <c r="BW21" s="5"/>
      <c r="BX21" s="5"/>
      <c r="BY21" s="5"/>
      <c r="BZ21" s="5"/>
      <c r="CA21" s="5"/>
      <c r="CB21" s="5"/>
      <c r="CC21" s="5"/>
      <c r="CD21" s="5"/>
      <c r="CE21" s="2"/>
      <c r="CF21" s="2"/>
      <c r="CG21" s="2"/>
      <c r="CH21" s="2"/>
      <c r="CI21" s="2"/>
    </row>
    <row r="22" ht="12.0" customHeight="1">
      <c r="A22" s="6"/>
      <c r="B22" s="36" t="s">
        <v>95</v>
      </c>
      <c r="C22" s="37">
        <f t="shared" ref="C22:E22" si="45">C23*C12</f>
        <v>26913.8028</v>
      </c>
      <c r="D22" s="37">
        <f t="shared" si="45"/>
        <v>40413.4011</v>
      </c>
      <c r="E22" s="37">
        <f t="shared" si="45"/>
        <v>42043.5909</v>
      </c>
      <c r="F22" s="37"/>
      <c r="G22" s="37">
        <f t="shared" ref="G22:Y22" si="46">G23*G12</f>
        <v>33538.7772</v>
      </c>
      <c r="H22" s="37">
        <f t="shared" si="46"/>
        <v>25167.648</v>
      </c>
      <c r="I22" s="37">
        <f t="shared" si="46"/>
        <v>40268.952</v>
      </c>
      <c r="J22" s="37">
        <f t="shared" si="46"/>
        <v>13818.6183</v>
      </c>
      <c r="K22" s="37">
        <f t="shared" si="46"/>
        <v>9973.4499</v>
      </c>
      <c r="L22" s="37">
        <f t="shared" si="46"/>
        <v>50832.7976</v>
      </c>
      <c r="M22" s="37">
        <f t="shared" si="46"/>
        <v>40810.5479</v>
      </c>
      <c r="N22" s="37">
        <f t="shared" si="46"/>
        <v>70900.578</v>
      </c>
      <c r="O22" s="39">
        <f t="shared" si="46"/>
        <v>425198.9529</v>
      </c>
      <c r="P22" s="37">
        <f t="shared" si="46"/>
        <v>93732.37676</v>
      </c>
      <c r="Q22" s="37">
        <f t="shared" si="46"/>
        <v>94655.64005</v>
      </c>
      <c r="R22" s="37">
        <f t="shared" si="46"/>
        <v>152666.7582</v>
      </c>
      <c r="S22" s="37">
        <f t="shared" si="46"/>
        <v>63876.02228</v>
      </c>
      <c r="T22" s="38">
        <f t="shared" si="46"/>
        <v>28731.81679</v>
      </c>
      <c r="U22" s="37">
        <f t="shared" si="46"/>
        <v>108080.0238</v>
      </c>
      <c r="V22" s="37">
        <f t="shared" si="46"/>
        <v>51766.09013</v>
      </c>
      <c r="W22" s="37">
        <f t="shared" si="46"/>
        <v>47321.66181</v>
      </c>
      <c r="X22" s="37">
        <f t="shared" si="46"/>
        <v>3740.207968</v>
      </c>
      <c r="Y22" s="37">
        <f t="shared" si="46"/>
        <v>11333.73184</v>
      </c>
      <c r="Z22" s="37"/>
      <c r="AA22" s="37">
        <f t="shared" ref="AA22:AB22" si="47">AA23*AA12</f>
        <v>7490.4308</v>
      </c>
      <c r="AB22" s="39">
        <f t="shared" si="47"/>
        <v>754167.4885</v>
      </c>
      <c r="AC22" s="84"/>
      <c r="AD22" s="37">
        <f t="shared" ref="AD22:BA22" si="48">AD23*AD12</f>
        <v>3587.693508</v>
      </c>
      <c r="AE22" s="37">
        <f t="shared" si="48"/>
        <v>2157.617006</v>
      </c>
      <c r="AF22" s="37">
        <f t="shared" si="48"/>
        <v>17512.27157</v>
      </c>
      <c r="AG22" s="37">
        <f t="shared" si="48"/>
        <v>1612.75272</v>
      </c>
      <c r="AH22" s="37">
        <f t="shared" si="48"/>
        <v>11338</v>
      </c>
      <c r="AI22" s="37">
        <f t="shared" si="48"/>
        <v>0</v>
      </c>
      <c r="AJ22" s="37">
        <f t="shared" si="48"/>
        <v>0</v>
      </c>
      <c r="AK22" s="37">
        <f t="shared" si="48"/>
        <v>0</v>
      </c>
      <c r="AL22" s="37">
        <f t="shared" si="48"/>
        <v>1447</v>
      </c>
      <c r="AM22" s="37">
        <f t="shared" si="48"/>
        <v>0</v>
      </c>
      <c r="AN22" s="37">
        <f t="shared" si="48"/>
        <v>0</v>
      </c>
      <c r="AO22" s="73">
        <f t="shared" si="48"/>
        <v>39810.11742</v>
      </c>
      <c r="AP22" s="37">
        <f t="shared" si="48"/>
        <v>0</v>
      </c>
      <c r="AQ22" s="37">
        <f t="shared" si="48"/>
        <v>300</v>
      </c>
      <c r="AR22" s="37">
        <f t="shared" si="48"/>
        <v>1700</v>
      </c>
      <c r="AS22" s="37">
        <f t="shared" si="48"/>
        <v>2964</v>
      </c>
      <c r="AT22" s="37">
        <f t="shared" si="48"/>
        <v>1895</v>
      </c>
      <c r="AU22" s="37">
        <f t="shared" si="48"/>
        <v>895</v>
      </c>
      <c r="AV22" s="37">
        <f t="shared" si="48"/>
        <v>0</v>
      </c>
      <c r="AW22" s="37">
        <f t="shared" si="48"/>
        <v>0</v>
      </c>
      <c r="AX22" s="37">
        <f t="shared" si="48"/>
        <v>0</v>
      </c>
      <c r="AY22" s="37">
        <f t="shared" si="48"/>
        <v>0</v>
      </c>
      <c r="AZ22" s="37">
        <f t="shared" si="48"/>
        <v>0</v>
      </c>
      <c r="BA22" s="37">
        <f t="shared" si="48"/>
        <v>0</v>
      </c>
      <c r="BB22" s="39"/>
      <c r="BC22" s="2"/>
      <c r="BD22" s="2"/>
      <c r="BE22" s="5"/>
      <c r="BF22" s="5"/>
      <c r="BG22" s="5"/>
      <c r="BH22" s="5"/>
      <c r="BI22" s="5"/>
      <c r="BJ22" s="5"/>
      <c r="BK22" s="5"/>
      <c r="BL22" s="5"/>
      <c r="BM22" s="2"/>
      <c r="BN22" s="5"/>
      <c r="BO22" s="5"/>
      <c r="BP22" s="5"/>
      <c r="BQ22" s="5"/>
      <c r="BR22" s="5"/>
      <c r="BS22" s="5"/>
      <c r="BT22" s="5"/>
      <c r="BU22" s="5"/>
      <c r="BV22" s="2"/>
      <c r="BW22" s="5"/>
      <c r="BX22" s="5"/>
      <c r="BY22" s="5"/>
      <c r="BZ22" s="5"/>
      <c r="CA22" s="5"/>
      <c r="CB22" s="5"/>
      <c r="CC22" s="5"/>
      <c r="CD22" s="5"/>
      <c r="CE22" s="2"/>
      <c r="CF22" s="2"/>
      <c r="CG22" s="2"/>
      <c r="CH22" s="2"/>
      <c r="CI22" s="2"/>
    </row>
    <row r="23" ht="12.0" customHeight="1">
      <c r="A23" s="6"/>
      <c r="B23" s="36" t="s">
        <v>96</v>
      </c>
      <c r="C23" s="74">
        <v>0.0106</v>
      </c>
      <c r="D23" s="74">
        <v>0.0177</v>
      </c>
      <c r="E23" s="74">
        <v>0.0159</v>
      </c>
      <c r="F23" s="74"/>
      <c r="G23" s="74">
        <v>0.0114</v>
      </c>
      <c r="H23" s="74">
        <v>0.0088</v>
      </c>
      <c r="I23" s="74">
        <v>0.0144</v>
      </c>
      <c r="J23" s="74">
        <v>0.0051</v>
      </c>
      <c r="K23" s="74">
        <v>0.0037</v>
      </c>
      <c r="L23" s="74">
        <v>0.0173</v>
      </c>
      <c r="M23" s="74">
        <v>0.0131</v>
      </c>
      <c r="N23" s="74">
        <v>0.021</v>
      </c>
      <c r="O23" s="75">
        <f>AVERAGE(C23:N23)</f>
        <v>0.01263636364</v>
      </c>
      <c r="P23" s="76">
        <v>0.02801987820133896</v>
      </c>
      <c r="Q23" s="76">
        <v>0.03308013830013972</v>
      </c>
      <c r="R23" s="76">
        <v>0.04621082786777176</v>
      </c>
      <c r="S23" s="76">
        <v>0.0193235204034048</v>
      </c>
      <c r="T23" s="77">
        <v>0.008156370065096489</v>
      </c>
      <c r="U23" s="76">
        <v>0.03260421059765701</v>
      </c>
      <c r="V23" s="76">
        <v>0.016627407173559337</v>
      </c>
      <c r="W23" s="76">
        <v>0.015038126863644563</v>
      </c>
      <c r="X23" s="79">
        <v>0.0011387550592521546</v>
      </c>
      <c r="Y23" s="79">
        <v>0.0031651033489441456</v>
      </c>
      <c r="Z23" s="76"/>
      <c r="AA23" s="76">
        <v>0.0019</v>
      </c>
      <c r="AB23" s="78">
        <f>AVERAGE(P23:AA23)</f>
        <v>0.01866039435</v>
      </c>
      <c r="AC23" s="76"/>
      <c r="AD23" s="76">
        <v>0.001007045855386829</v>
      </c>
      <c r="AE23" s="76">
        <v>5.90515751937047E-4</v>
      </c>
      <c r="AF23" s="76">
        <v>0.005023384413125226</v>
      </c>
      <c r="AG23" s="76">
        <v>4.4793299033407755E-4</v>
      </c>
      <c r="AH23" s="74">
        <v>0.00333958658993099</v>
      </c>
      <c r="AI23" s="74">
        <v>0.0</v>
      </c>
      <c r="AJ23" s="74">
        <v>0.0</v>
      </c>
      <c r="AK23" s="74">
        <v>0.0</v>
      </c>
      <c r="AL23" s="79">
        <v>4.657110203577188E-4</v>
      </c>
      <c r="AM23" s="79">
        <v>0.0</v>
      </c>
      <c r="AN23" s="79">
        <v>0.0</v>
      </c>
      <c r="AO23" s="80">
        <f>AVERAGE(AC23:AN23)</f>
        <v>0.000988561511</v>
      </c>
      <c r="AP23" s="79">
        <v>0.0</v>
      </c>
      <c r="AQ23" s="74">
        <v>1.1058052934899399E-4</v>
      </c>
      <c r="AR23" s="74">
        <v>5.657612600634784E-4</v>
      </c>
      <c r="AS23" s="74">
        <v>9.577086336270113E-4</v>
      </c>
      <c r="AT23" s="74">
        <v>5.864596221776437E-4</v>
      </c>
      <c r="AU23" s="74">
        <v>3.1326741766842236E-4</v>
      </c>
      <c r="AV23" s="74"/>
      <c r="AW23" s="74"/>
      <c r="AX23" s="74"/>
      <c r="AY23" s="74"/>
      <c r="AZ23" s="74"/>
      <c r="BA23" s="81"/>
      <c r="BB23" s="39"/>
      <c r="BC23" s="2"/>
      <c r="BD23" s="2"/>
      <c r="BE23" s="33"/>
      <c r="BF23" s="33" t="s">
        <v>55</v>
      </c>
      <c r="BG23" s="34" t="s">
        <v>56</v>
      </c>
      <c r="BH23" s="22"/>
      <c r="BI23" s="34" t="s">
        <v>57</v>
      </c>
      <c r="BJ23" s="22"/>
      <c r="BK23" s="34" t="s">
        <v>58</v>
      </c>
      <c r="BL23" s="22"/>
      <c r="BM23" s="2"/>
      <c r="BN23" s="33"/>
      <c r="BO23" s="33" t="s">
        <v>55</v>
      </c>
      <c r="BP23" s="34" t="s">
        <v>56</v>
      </c>
      <c r="BQ23" s="22"/>
      <c r="BR23" s="34" t="s">
        <v>57</v>
      </c>
      <c r="BS23" s="22"/>
      <c r="BT23" s="34" t="s">
        <v>58</v>
      </c>
      <c r="BU23" s="22"/>
      <c r="BV23" s="2"/>
      <c r="BW23" s="33"/>
      <c r="BX23" s="33" t="s">
        <v>55</v>
      </c>
      <c r="BY23" s="34" t="s">
        <v>56</v>
      </c>
      <c r="BZ23" s="72"/>
      <c r="CA23" s="34" t="s">
        <v>57</v>
      </c>
      <c r="CB23" s="72"/>
      <c r="CC23" s="34" t="s">
        <v>58</v>
      </c>
      <c r="CD23" s="22"/>
      <c r="CE23" s="2"/>
      <c r="CF23" s="2"/>
      <c r="CG23" s="2"/>
      <c r="CH23" s="2"/>
      <c r="CI23" s="2"/>
    </row>
    <row r="24" ht="12.0" customHeight="1">
      <c r="A24" s="6"/>
      <c r="B24" s="36" t="s">
        <v>97</v>
      </c>
      <c r="C24" s="37">
        <f t="shared" ref="C24:O24" si="49">C12*C25</f>
        <v>1524184.511</v>
      </c>
      <c r="D24" s="37">
        <f t="shared" si="49"/>
        <v>1088193.614</v>
      </c>
      <c r="E24" s="37">
        <f t="shared" si="49"/>
        <v>856737.324</v>
      </c>
      <c r="F24" s="37">
        <f t="shared" si="49"/>
        <v>1380544.787</v>
      </c>
      <c r="G24" s="37">
        <f t="shared" si="49"/>
        <v>1880819.321</v>
      </c>
      <c r="H24" s="37">
        <f t="shared" si="49"/>
        <v>1792336.932</v>
      </c>
      <c r="I24" s="37">
        <f t="shared" si="49"/>
        <v>2034700.658</v>
      </c>
      <c r="J24" s="37">
        <f t="shared" si="49"/>
        <v>1786937.014</v>
      </c>
      <c r="K24" s="37">
        <f t="shared" si="49"/>
        <v>1823254.463</v>
      </c>
      <c r="L24" s="37">
        <f t="shared" si="49"/>
        <v>1969844.365</v>
      </c>
      <c r="M24" s="37">
        <f t="shared" si="49"/>
        <v>1457341.55</v>
      </c>
      <c r="N24" s="37">
        <f t="shared" si="49"/>
        <v>1082077.869</v>
      </c>
      <c r="O24" s="39">
        <f t="shared" si="49"/>
        <v>18762872.48</v>
      </c>
      <c r="P24" s="37">
        <f t="shared" ref="P24:W24" si="50">P25*P12</f>
        <v>1014952.179</v>
      </c>
      <c r="Q24" s="37">
        <f t="shared" si="50"/>
        <v>1195210.626</v>
      </c>
      <c r="R24" s="37">
        <f t="shared" si="50"/>
        <v>1544488.964</v>
      </c>
      <c r="S24" s="37">
        <f t="shared" si="50"/>
        <v>1312311.87</v>
      </c>
      <c r="T24" s="38">
        <f t="shared" si="50"/>
        <v>1139664.752</v>
      </c>
      <c r="U24" s="37">
        <f t="shared" si="50"/>
        <v>1273991.569</v>
      </c>
      <c r="V24" s="37">
        <f t="shared" si="50"/>
        <v>962922.4233</v>
      </c>
      <c r="W24" s="37">
        <f t="shared" si="50"/>
        <v>1005229.485</v>
      </c>
      <c r="X24" s="37">
        <f t="shared" ref="X24:AN24" si="51">X12*X25</f>
        <v>277492.1453</v>
      </c>
      <c r="Y24" s="37">
        <f t="shared" si="51"/>
        <v>356034.4393</v>
      </c>
      <c r="Z24" s="37">
        <f t="shared" si="51"/>
        <v>278316.4712</v>
      </c>
      <c r="AA24" s="37">
        <f t="shared" si="51"/>
        <v>194452.0239</v>
      </c>
      <c r="AB24" s="39">
        <f t="shared" si="51"/>
        <v>10881070.09</v>
      </c>
      <c r="AC24" s="37">
        <f t="shared" si="51"/>
        <v>288454.8506</v>
      </c>
      <c r="AD24" s="37">
        <f t="shared" si="51"/>
        <v>174787.6537</v>
      </c>
      <c r="AE24" s="37">
        <f t="shared" si="51"/>
        <v>286323.0032</v>
      </c>
      <c r="AF24" s="37">
        <f t="shared" si="51"/>
        <v>284456.3109</v>
      </c>
      <c r="AG24" s="37">
        <f t="shared" si="51"/>
        <v>176239.4203</v>
      </c>
      <c r="AH24" s="37">
        <f t="shared" si="51"/>
        <v>230692</v>
      </c>
      <c r="AI24" s="37">
        <f t="shared" si="51"/>
        <v>179490</v>
      </c>
      <c r="AJ24" s="37">
        <f t="shared" si="51"/>
        <v>187066</v>
      </c>
      <c r="AK24" s="37">
        <f t="shared" si="51"/>
        <v>175918</v>
      </c>
      <c r="AL24" s="37">
        <f t="shared" si="51"/>
        <v>196718</v>
      </c>
      <c r="AM24" s="37">
        <f t="shared" si="51"/>
        <v>195534</v>
      </c>
      <c r="AN24" s="37">
        <f t="shared" si="51"/>
        <v>198682</v>
      </c>
      <c r="AO24" s="73">
        <f>AO25*AO12</f>
        <v>2565104.137</v>
      </c>
      <c r="AP24" s="37">
        <f t="shared" ref="AP24:BA24" si="52">AP12*AP25</f>
        <v>110093</v>
      </c>
      <c r="AQ24" s="37">
        <f t="shared" si="52"/>
        <v>101968</v>
      </c>
      <c r="AR24" s="37">
        <f t="shared" si="52"/>
        <v>108043</v>
      </c>
      <c r="AS24" s="37">
        <f t="shared" si="52"/>
        <v>131453</v>
      </c>
      <c r="AT24" s="37">
        <f t="shared" si="52"/>
        <v>153371</v>
      </c>
      <c r="AU24" s="37">
        <f t="shared" si="52"/>
        <v>150925</v>
      </c>
      <c r="AV24" s="37">
        <f t="shared" si="52"/>
        <v>0</v>
      </c>
      <c r="AW24" s="37">
        <f t="shared" si="52"/>
        <v>0</v>
      </c>
      <c r="AX24" s="37">
        <f t="shared" si="52"/>
        <v>0</v>
      </c>
      <c r="AY24" s="37">
        <f t="shared" si="52"/>
        <v>0</v>
      </c>
      <c r="AZ24" s="37">
        <f t="shared" si="52"/>
        <v>0</v>
      </c>
      <c r="BA24" s="37">
        <f t="shared" si="52"/>
        <v>0</v>
      </c>
      <c r="BB24" s="39"/>
      <c r="BC24" s="66"/>
      <c r="BD24" s="2"/>
      <c r="BE24" s="42" t="s">
        <v>98</v>
      </c>
      <c r="BF24" s="45" t="s">
        <v>84</v>
      </c>
      <c r="BG24" s="44" t="s">
        <v>62</v>
      </c>
      <c r="BH24" s="45" t="s">
        <v>63</v>
      </c>
      <c r="BI24" s="44" t="s">
        <v>62</v>
      </c>
      <c r="BJ24" s="45" t="s">
        <v>63</v>
      </c>
      <c r="BK24" s="44" t="s">
        <v>62</v>
      </c>
      <c r="BL24" s="45" t="s">
        <v>63</v>
      </c>
      <c r="BM24" s="2"/>
      <c r="BN24" s="42" t="s">
        <v>98</v>
      </c>
      <c r="BO24" s="45" t="s">
        <v>84</v>
      </c>
      <c r="BP24" s="44" t="s">
        <v>62</v>
      </c>
      <c r="BQ24" s="45" t="s">
        <v>63</v>
      </c>
      <c r="BR24" s="44" t="s">
        <v>62</v>
      </c>
      <c r="BS24" s="45" t="s">
        <v>63</v>
      </c>
      <c r="BT24" s="44" t="s">
        <v>62</v>
      </c>
      <c r="BU24" s="45" t="s">
        <v>63</v>
      </c>
      <c r="BV24" s="2"/>
      <c r="BW24" s="42" t="s">
        <v>98</v>
      </c>
      <c r="BX24" s="45" t="s">
        <v>84</v>
      </c>
      <c r="BY24" s="44" t="s">
        <v>62</v>
      </c>
      <c r="BZ24" s="45" t="s">
        <v>63</v>
      </c>
      <c r="CA24" s="44" t="s">
        <v>62</v>
      </c>
      <c r="CB24" s="45" t="s">
        <v>63</v>
      </c>
      <c r="CC24" s="44" t="s">
        <v>62</v>
      </c>
      <c r="CD24" s="45" t="s">
        <v>63</v>
      </c>
      <c r="CE24" s="2"/>
      <c r="CF24" s="2"/>
      <c r="CG24" s="2"/>
      <c r="CH24" s="2"/>
      <c r="CI24" s="2"/>
    </row>
    <row r="25" ht="12.0" customHeight="1">
      <c r="A25" s="6"/>
      <c r="B25" s="36" t="s">
        <v>99</v>
      </c>
      <c r="C25" s="74">
        <v>0.6003</v>
      </c>
      <c r="D25" s="74">
        <v>0.4766</v>
      </c>
      <c r="E25" s="74">
        <v>0.324</v>
      </c>
      <c r="F25" s="74">
        <v>0.5022</v>
      </c>
      <c r="G25" s="74">
        <v>0.6393</v>
      </c>
      <c r="H25" s="74">
        <v>0.6267</v>
      </c>
      <c r="I25" s="74">
        <v>0.7276</v>
      </c>
      <c r="J25" s="74">
        <v>0.6595</v>
      </c>
      <c r="K25" s="74">
        <v>0.6764</v>
      </c>
      <c r="L25" s="74">
        <v>0.6704</v>
      </c>
      <c r="M25" s="74">
        <v>0.4678</v>
      </c>
      <c r="N25" s="74">
        <v>0.3205</v>
      </c>
      <c r="O25" s="75">
        <f>AVERAGE(C25:N25)</f>
        <v>0.5576083333</v>
      </c>
      <c r="P25" s="76">
        <v>0.3034046231252492</v>
      </c>
      <c r="Q25" s="76">
        <v>0.41770076017713786</v>
      </c>
      <c r="R25" s="76">
        <v>0.4675026474953466</v>
      </c>
      <c r="S25" s="76">
        <v>0.39699537136047963</v>
      </c>
      <c r="T25" s="77">
        <v>0.3235273124540913</v>
      </c>
      <c r="U25" s="76">
        <v>0.3843216162826558</v>
      </c>
      <c r="V25" s="76">
        <v>0.30929326841351173</v>
      </c>
      <c r="W25" s="76">
        <v>0.3194471186530384</v>
      </c>
      <c r="X25" s="76">
        <v>0.08448609998566114</v>
      </c>
      <c r="Y25" s="76">
        <v>0.0994276035539572</v>
      </c>
      <c r="Z25" s="76">
        <v>0.07533815467670688</v>
      </c>
      <c r="AA25" s="76">
        <v>0.04932411168983856</v>
      </c>
      <c r="AB25" s="78">
        <f>AVERAGE(P25:AA25)</f>
        <v>0.269230724</v>
      </c>
      <c r="AC25" s="76">
        <v>0.07396833930531553</v>
      </c>
      <c r="AD25" s="76">
        <v>0.04906193404210647</v>
      </c>
      <c r="AE25" s="76">
        <v>0.078363418086</v>
      </c>
      <c r="AF25" s="76">
        <v>0.0815961191799735</v>
      </c>
      <c r="AG25" s="76">
        <v>0.04894950699635275</v>
      </c>
      <c r="AH25" s="76">
        <v>0.06794989500832246</v>
      </c>
      <c r="AI25" s="74">
        <v>0.054748132359382494</v>
      </c>
      <c r="AJ25" s="74">
        <v>0.060500821809351873</v>
      </c>
      <c r="AK25" s="74">
        <v>0.05860799759062155</v>
      </c>
      <c r="AL25" s="74">
        <v>0.06331288217189339</v>
      </c>
      <c r="AM25" s="74">
        <v>0.06395183024150292</v>
      </c>
      <c r="AN25" s="74">
        <v>0.06334654368182933</v>
      </c>
      <c r="AO25" s="80">
        <f>AVERAGE(AC25:AN25)</f>
        <v>0.06369645171</v>
      </c>
      <c r="AP25" s="74">
        <v>0.035321256182013885</v>
      </c>
      <c r="AQ25" s="74">
        <v>0.03758558472219407</v>
      </c>
      <c r="AR25" s="74">
        <v>0.03595679048296376</v>
      </c>
      <c r="AS25" s="74">
        <v>0.04247424865592831</v>
      </c>
      <c r="AT25" s="74">
        <v>0.04746485420211472</v>
      </c>
      <c r="AU25" s="74">
        <v>0.052826687163806306</v>
      </c>
      <c r="AV25" s="74"/>
      <c r="AW25" s="74"/>
      <c r="AX25" s="74"/>
      <c r="AY25" s="74"/>
      <c r="AZ25" s="74"/>
      <c r="BA25" s="81"/>
      <c r="BB25" s="39"/>
      <c r="BC25" s="66"/>
      <c r="BD25" s="66"/>
      <c r="BE25" s="46" t="s">
        <v>100</v>
      </c>
      <c r="BF25" s="41">
        <f t="shared" ref="BF25:BF26" si="58">O39</f>
        <v>4362</v>
      </c>
      <c r="BG25" s="41">
        <f>AB38</f>
        <v>4875</v>
      </c>
      <c r="BH25" s="41">
        <f t="shared" ref="BH25:BH26" si="59">AB39</f>
        <v>4787</v>
      </c>
      <c r="BI25" s="41">
        <f>AO38</f>
        <v>5250</v>
      </c>
      <c r="BJ25" s="41">
        <f t="shared" ref="BJ25:BJ26" si="60">AO39</f>
        <v>4181</v>
      </c>
      <c r="BK25" s="41">
        <f>BB38</f>
        <v>6210</v>
      </c>
      <c r="BL25" s="41">
        <f>BB39</f>
        <v>4042</v>
      </c>
      <c r="BM25" s="2"/>
      <c r="BN25" s="46" t="s">
        <v>100</v>
      </c>
      <c r="BO25" s="41" t="str">
        <f t="shared" ref="BO25:BR25" si="53">BO34</f>
        <v/>
      </c>
      <c r="BP25" s="41">
        <f t="shared" si="53"/>
        <v>263</v>
      </c>
      <c r="BQ25" s="41">
        <f t="shared" si="53"/>
        <v>250</v>
      </c>
      <c r="BR25" s="41">
        <f t="shared" si="53"/>
        <v>835</v>
      </c>
      <c r="BS25" s="41"/>
      <c r="BT25" s="41">
        <f>BT34</f>
        <v>5625</v>
      </c>
      <c r="BU25" s="41"/>
      <c r="BV25" s="2"/>
      <c r="BW25" s="46" t="s">
        <v>100</v>
      </c>
      <c r="BX25" s="41">
        <f t="shared" ref="BX25:CA25" si="54">BX34</f>
        <v>4362</v>
      </c>
      <c r="BY25" s="41">
        <f t="shared" si="54"/>
        <v>4875</v>
      </c>
      <c r="BZ25" s="41">
        <f t="shared" si="54"/>
        <v>4787</v>
      </c>
      <c r="CA25" s="41">
        <f t="shared" si="54"/>
        <v>5250</v>
      </c>
      <c r="CB25" s="41"/>
      <c r="CC25" s="41">
        <f>CC34</f>
        <v>5625</v>
      </c>
      <c r="CD25" s="41"/>
      <c r="CE25" s="2"/>
      <c r="CF25" s="2"/>
      <c r="CG25" s="2"/>
      <c r="CH25" s="2"/>
      <c r="CI25" s="2"/>
    </row>
    <row r="26" ht="12.0" customHeight="1">
      <c r="A26" s="6"/>
      <c r="B26" s="36" t="s">
        <v>101</v>
      </c>
      <c r="C26" s="37">
        <f>C27*C12</f>
        <v>27421.6104</v>
      </c>
      <c r="D26" s="37"/>
      <c r="E26" s="37"/>
      <c r="F26" s="37"/>
      <c r="G26" s="37"/>
      <c r="H26" s="37"/>
      <c r="I26" s="37"/>
      <c r="J26" s="37">
        <f t="shared" ref="J26:L26" si="55">J27*J12</f>
        <v>11650.9919</v>
      </c>
      <c r="K26" s="37">
        <f t="shared" si="55"/>
        <v>8086.581</v>
      </c>
      <c r="L26" s="37">
        <f t="shared" si="55"/>
        <v>7933.4424</v>
      </c>
      <c r="M26" s="37"/>
      <c r="N26" s="37">
        <f t="shared" ref="N26:O26" si="56">N27*N12</f>
        <v>4726.7052</v>
      </c>
      <c r="O26" s="39">
        <f t="shared" si="56"/>
        <v>149400.8407</v>
      </c>
      <c r="P26" s="37"/>
      <c r="Q26" s="37"/>
      <c r="R26" s="37"/>
      <c r="S26" s="37"/>
      <c r="T26" s="38">
        <v>6067.0</v>
      </c>
      <c r="U26" s="37"/>
      <c r="V26" s="37"/>
      <c r="W26" s="37"/>
      <c r="X26" s="37">
        <f t="shared" ref="X26:BA26" si="57">X27*X12</f>
        <v>537117.9698</v>
      </c>
      <c r="Y26" s="37">
        <f t="shared" si="57"/>
        <v>648300.353</v>
      </c>
      <c r="Z26" s="37">
        <f t="shared" si="57"/>
        <v>34654.51936</v>
      </c>
      <c r="AA26" s="37">
        <f t="shared" si="57"/>
        <v>63899.11563</v>
      </c>
      <c r="AB26" s="39">
        <f t="shared" si="57"/>
        <v>1252151.975</v>
      </c>
      <c r="AC26" s="37">
        <f t="shared" si="57"/>
        <v>63310.77624</v>
      </c>
      <c r="AD26" s="37">
        <f t="shared" si="57"/>
        <v>0</v>
      </c>
      <c r="AE26" s="37">
        <f t="shared" si="57"/>
        <v>219048.7114</v>
      </c>
      <c r="AF26" s="37">
        <f t="shared" si="57"/>
        <v>9591.138796</v>
      </c>
      <c r="AG26" s="37">
        <f t="shared" si="57"/>
        <v>0</v>
      </c>
      <c r="AH26" s="37">
        <f t="shared" si="57"/>
        <v>0</v>
      </c>
      <c r="AI26" s="37">
        <f t="shared" si="57"/>
        <v>0</v>
      </c>
      <c r="AJ26" s="37">
        <f t="shared" si="57"/>
        <v>133194</v>
      </c>
      <c r="AK26" s="37">
        <f t="shared" si="57"/>
        <v>198349</v>
      </c>
      <c r="AL26" s="37">
        <f t="shared" si="57"/>
        <v>322842</v>
      </c>
      <c r="AM26" s="37">
        <f t="shared" si="57"/>
        <v>127871</v>
      </c>
      <c r="AN26" s="37">
        <f t="shared" si="57"/>
        <v>52120</v>
      </c>
      <c r="AO26" s="73">
        <f t="shared" si="57"/>
        <v>1176041.982</v>
      </c>
      <c r="AP26" s="37">
        <f t="shared" si="57"/>
        <v>11106</v>
      </c>
      <c r="AQ26" s="37">
        <f t="shared" si="57"/>
        <v>0</v>
      </c>
      <c r="AR26" s="37">
        <f t="shared" si="57"/>
        <v>20730</v>
      </c>
      <c r="AS26" s="37">
        <f t="shared" si="57"/>
        <v>0</v>
      </c>
      <c r="AT26" s="37">
        <f t="shared" si="57"/>
        <v>0</v>
      </c>
      <c r="AU26" s="37">
        <f t="shared" si="57"/>
        <v>0</v>
      </c>
      <c r="AV26" s="37">
        <f t="shared" si="57"/>
        <v>0</v>
      </c>
      <c r="AW26" s="37">
        <f t="shared" si="57"/>
        <v>0</v>
      </c>
      <c r="AX26" s="37">
        <f t="shared" si="57"/>
        <v>0</v>
      </c>
      <c r="AY26" s="37">
        <f t="shared" si="57"/>
        <v>0</v>
      </c>
      <c r="AZ26" s="37">
        <f t="shared" si="57"/>
        <v>0</v>
      </c>
      <c r="BA26" s="37">
        <f t="shared" si="57"/>
        <v>0</v>
      </c>
      <c r="BB26" s="39"/>
      <c r="BC26" s="16"/>
      <c r="BD26" s="2"/>
      <c r="BE26" s="46" t="s">
        <v>102</v>
      </c>
      <c r="BF26" s="41">
        <f t="shared" si="58"/>
        <v>243</v>
      </c>
      <c r="BG26" s="41">
        <f>AB41</f>
        <v>731</v>
      </c>
      <c r="BH26" s="41">
        <f t="shared" si="59"/>
        <v>819</v>
      </c>
      <c r="BI26" s="41">
        <f>AO41</f>
        <v>1313</v>
      </c>
      <c r="BJ26" s="41">
        <f t="shared" si="60"/>
        <v>1545</v>
      </c>
      <c r="BK26" s="41">
        <f>BB41</f>
        <v>2513</v>
      </c>
      <c r="BL26" s="41"/>
      <c r="BM26" s="2"/>
      <c r="BN26" s="46" t="s">
        <v>102</v>
      </c>
      <c r="BO26" s="41">
        <f>C42</f>
        <v>0.0375</v>
      </c>
      <c r="BP26" s="41">
        <f>P43</f>
        <v>0.0571820677</v>
      </c>
      <c r="BQ26" s="41">
        <f>P42</f>
        <v>0.05994985183</v>
      </c>
      <c r="BR26" s="41">
        <f>AC43</f>
        <v>0.1591928251</v>
      </c>
      <c r="BS26" s="41"/>
      <c r="BT26" s="41">
        <f>BT25*BT27</f>
        <v>2250</v>
      </c>
      <c r="BU26" s="41"/>
      <c r="BV26" s="2"/>
      <c r="BW26" s="46" t="s">
        <v>102</v>
      </c>
      <c r="BX26" s="41">
        <f>N40</f>
        <v>243</v>
      </c>
      <c r="BY26" s="41">
        <f>AA41</f>
        <v>731</v>
      </c>
      <c r="BZ26" s="41">
        <f>AA40</f>
        <v>819</v>
      </c>
      <c r="CA26" s="41">
        <f>AN41</f>
        <v>1313</v>
      </c>
      <c r="CB26" s="41"/>
      <c r="CC26" s="41">
        <f>CC25*CC27</f>
        <v>2250</v>
      </c>
      <c r="CD26" s="41"/>
      <c r="CE26" s="2"/>
      <c r="CF26" s="2"/>
      <c r="CG26" s="2"/>
      <c r="CH26" s="2"/>
      <c r="CI26" s="2"/>
    </row>
    <row r="27" ht="12.0" customHeight="1">
      <c r="A27" s="6"/>
      <c r="B27" s="36" t="s">
        <v>103</v>
      </c>
      <c r="C27" s="74">
        <v>0.0108</v>
      </c>
      <c r="D27" s="74"/>
      <c r="E27" s="74"/>
      <c r="F27" s="74"/>
      <c r="G27" s="74"/>
      <c r="H27" s="74"/>
      <c r="I27" s="74"/>
      <c r="J27" s="76">
        <v>0.0043</v>
      </c>
      <c r="K27" s="76">
        <v>0.003</v>
      </c>
      <c r="L27" s="76">
        <v>0.0027</v>
      </c>
      <c r="M27" s="74"/>
      <c r="N27" s="76">
        <v>0.0014</v>
      </c>
      <c r="O27" s="75">
        <f>AVERAGE(C27:N27)</f>
        <v>0.00444</v>
      </c>
      <c r="P27" s="74">
        <f t="shared" ref="P27:W27" si="61">P26/P2</f>
        <v>0</v>
      </c>
      <c r="Q27" s="74">
        <f t="shared" si="61"/>
        <v>0</v>
      </c>
      <c r="R27" s="74">
        <f t="shared" si="61"/>
        <v>0</v>
      </c>
      <c r="S27" s="74">
        <f t="shared" si="61"/>
        <v>0</v>
      </c>
      <c r="T27" s="85">
        <f t="shared" si="61"/>
        <v>0.001615826847</v>
      </c>
      <c r="U27" s="74">
        <f t="shared" si="61"/>
        <v>0</v>
      </c>
      <c r="V27" s="74">
        <f t="shared" si="61"/>
        <v>0</v>
      </c>
      <c r="W27" s="74">
        <f t="shared" si="61"/>
        <v>0</v>
      </c>
      <c r="X27" s="79">
        <v>0.16353256575959121</v>
      </c>
      <c r="Y27" s="79">
        <v>0.1810469532078206</v>
      </c>
      <c r="Z27" s="79">
        <v>0.009380715159587532</v>
      </c>
      <c r="AA27" s="74">
        <v>0.01620845621991137</v>
      </c>
      <c r="AB27" s="78">
        <f>AVERAGE(P27:AA27)</f>
        <v>0.0309820431</v>
      </c>
      <c r="AC27" s="76">
        <v>0.016234752056119663</v>
      </c>
      <c r="AD27" s="76">
        <v>0.0</v>
      </c>
      <c r="AE27" s="76">
        <v>0.05995119344928727</v>
      </c>
      <c r="AF27" s="76">
        <v>0.0027512123105012626</v>
      </c>
      <c r="AG27" s="76">
        <v>0.0</v>
      </c>
      <c r="AH27" s="74">
        <v>0.0</v>
      </c>
      <c r="AI27" s="74">
        <v>0.0</v>
      </c>
      <c r="AJ27" s="74">
        <v>0.043077557974590855</v>
      </c>
      <c r="AK27" s="74">
        <v>0.06608100202425103</v>
      </c>
      <c r="AL27" s="74">
        <v>0.10390537473001152</v>
      </c>
      <c r="AM27" s="74">
        <v>0.041821803291556554</v>
      </c>
      <c r="AN27" s="74">
        <v>0.01661761939529975</v>
      </c>
      <c r="AO27" s="80">
        <f>AVERAGE(AC27:AN27)</f>
        <v>0.02920337627</v>
      </c>
      <c r="AP27" s="74">
        <v>0.0035631499837178227</v>
      </c>
      <c r="AQ27" s="74">
        <v>0.0</v>
      </c>
      <c r="AR27" s="74">
        <v>0.006898959365362298</v>
      </c>
      <c r="AS27" s="74">
        <v>0.0</v>
      </c>
      <c r="AT27" s="74">
        <v>0.0</v>
      </c>
      <c r="AU27" s="74">
        <v>0.0</v>
      </c>
      <c r="AV27" s="74"/>
      <c r="AW27" s="74"/>
      <c r="AX27" s="74"/>
      <c r="AY27" s="74"/>
      <c r="AZ27" s="74"/>
      <c r="BA27" s="81"/>
      <c r="BB27" s="39"/>
      <c r="BC27" s="2"/>
      <c r="BD27" s="2"/>
      <c r="BE27" s="51" t="s">
        <v>104</v>
      </c>
      <c r="BF27" s="52">
        <f>BF26/BF25</f>
        <v>0.05570839065</v>
      </c>
      <c r="BG27" s="52">
        <v>0.15</v>
      </c>
      <c r="BH27" s="52">
        <f t="shared" ref="BH27:BK27" si="62">BH26/BH25</f>
        <v>0.1710883643</v>
      </c>
      <c r="BI27" s="52">
        <f t="shared" si="62"/>
        <v>0.2500952381</v>
      </c>
      <c r="BJ27" s="52">
        <f t="shared" si="62"/>
        <v>0.3695288209</v>
      </c>
      <c r="BK27" s="52">
        <f t="shared" si="62"/>
        <v>0.4046698873</v>
      </c>
      <c r="BL27" s="82"/>
      <c r="BM27" s="2"/>
      <c r="BN27" s="51" t="s">
        <v>104</v>
      </c>
      <c r="BO27" s="52" t="str">
        <f>BO26/BO25</f>
        <v>#DIV/0!</v>
      </c>
      <c r="BP27" s="52">
        <v>0.15</v>
      </c>
      <c r="BQ27" s="52">
        <f>BQ26/BQ25</f>
        <v>0.0002397994073</v>
      </c>
      <c r="BR27" s="52">
        <v>0.25</v>
      </c>
      <c r="BS27" s="86"/>
      <c r="BT27" s="52">
        <v>0.4</v>
      </c>
      <c r="BU27" s="82"/>
      <c r="BV27" s="2"/>
      <c r="BW27" s="51" t="s">
        <v>104</v>
      </c>
      <c r="BX27" s="52">
        <f>BX26/BX25</f>
        <v>0.05570839065</v>
      </c>
      <c r="BY27" s="52">
        <v>0.15</v>
      </c>
      <c r="BZ27" s="52">
        <f>BZ26/BZ25</f>
        <v>0.1710883643</v>
      </c>
      <c r="CA27" s="52">
        <v>0.25</v>
      </c>
      <c r="CB27" s="86"/>
      <c r="CC27" s="52">
        <v>0.4</v>
      </c>
      <c r="CD27" s="82"/>
      <c r="CE27" s="2"/>
      <c r="CF27" s="2"/>
      <c r="CG27" s="2"/>
      <c r="CH27" s="2"/>
      <c r="CI27" s="2"/>
    </row>
    <row r="28" ht="12.0" customHeight="1">
      <c r="A28" s="87" t="s">
        <v>105</v>
      </c>
      <c r="B28" s="61" t="s">
        <v>106</v>
      </c>
      <c r="C28" s="88"/>
      <c r="D28" s="88"/>
      <c r="E28" s="88"/>
      <c r="F28" s="88"/>
      <c r="G28" s="88"/>
      <c r="H28" s="88"/>
      <c r="I28" s="88"/>
      <c r="J28" s="89"/>
      <c r="K28" s="89"/>
      <c r="L28" s="89"/>
      <c r="M28" s="88"/>
      <c r="N28" s="88"/>
      <c r="O28" s="88"/>
      <c r="P28" s="49">
        <f t="shared" ref="P28:AA28" si="63">P31*P11</f>
        <v>1753050</v>
      </c>
      <c r="Q28" s="49">
        <f t="shared" si="63"/>
        <v>1607760</v>
      </c>
      <c r="R28" s="49">
        <f t="shared" si="63"/>
        <v>1805911.2</v>
      </c>
      <c r="S28" s="49">
        <f t="shared" si="63"/>
        <v>2053026</v>
      </c>
      <c r="T28" s="49">
        <f t="shared" si="63"/>
        <v>2297844</v>
      </c>
      <c r="U28" s="49">
        <f t="shared" si="63"/>
        <v>2433564</v>
      </c>
      <c r="V28" s="49">
        <f t="shared" si="63"/>
        <v>2441324.4</v>
      </c>
      <c r="W28" s="49">
        <f t="shared" si="63"/>
        <v>2407881.6</v>
      </c>
      <c r="X28" s="49">
        <f t="shared" si="63"/>
        <v>2260782</v>
      </c>
      <c r="Y28" s="49">
        <f t="shared" si="63"/>
        <v>2480700.6</v>
      </c>
      <c r="Z28" s="49">
        <f t="shared" si="63"/>
        <v>2566674</v>
      </c>
      <c r="AA28" s="49">
        <f t="shared" si="63"/>
        <v>2710485</v>
      </c>
      <c r="AB28" s="49">
        <f t="shared" ref="AB28:AB29" si="68">SUM(P28:AA28)</f>
        <v>26819002.8</v>
      </c>
      <c r="AC28" s="49">
        <f t="shared" ref="AC28:AN28" si="64">AC31*AC11</f>
        <v>2883632.4</v>
      </c>
      <c r="AD28" s="49">
        <f t="shared" si="64"/>
        <v>2454374.4</v>
      </c>
      <c r="AE28" s="49">
        <f t="shared" si="64"/>
        <v>2699697</v>
      </c>
      <c r="AF28" s="49">
        <f t="shared" si="64"/>
        <v>2687256</v>
      </c>
      <c r="AG28" s="49">
        <f t="shared" si="64"/>
        <v>2891184</v>
      </c>
      <c r="AH28" s="49">
        <f t="shared" si="64"/>
        <v>2782260</v>
      </c>
      <c r="AI28" s="49">
        <f t="shared" si="64"/>
        <v>2796249.6</v>
      </c>
      <c r="AJ28" s="49">
        <f t="shared" si="64"/>
        <v>2578062.3</v>
      </c>
      <c r="AK28" s="49">
        <f t="shared" si="64"/>
        <v>2603040</v>
      </c>
      <c r="AL28" s="49">
        <f t="shared" si="64"/>
        <v>2777856.525</v>
      </c>
      <c r="AM28" s="49">
        <f t="shared" si="64"/>
        <v>2803559.25</v>
      </c>
      <c r="AN28" s="49">
        <f t="shared" si="64"/>
        <v>3051712.075</v>
      </c>
      <c r="AO28" s="49">
        <f t="shared" ref="AO28:AO29" si="70">SUM(AC28:AN28)</f>
        <v>33008883.55</v>
      </c>
      <c r="AP28" s="49">
        <f t="shared" ref="AP28:BA28" si="65">AP31*AP11</f>
        <v>2744761.1</v>
      </c>
      <c r="AQ28" s="49">
        <f t="shared" si="65"/>
        <v>2450581.373</v>
      </c>
      <c r="AR28" s="49">
        <f t="shared" si="65"/>
        <v>2788593.395</v>
      </c>
      <c r="AS28" s="49">
        <f t="shared" si="65"/>
        <v>2860843.711</v>
      </c>
      <c r="AT28" s="49">
        <f t="shared" si="65"/>
        <v>3013143.706</v>
      </c>
      <c r="AU28" s="49">
        <f t="shared" si="65"/>
        <v>2993462.836</v>
      </c>
      <c r="AV28" s="49">
        <f t="shared" si="65"/>
        <v>3153196.434</v>
      </c>
      <c r="AW28" s="49">
        <f t="shared" si="65"/>
        <v>3213636.188</v>
      </c>
      <c r="AX28" s="49">
        <f t="shared" si="65"/>
        <v>3168933.089</v>
      </c>
      <c r="AY28" s="49">
        <f t="shared" si="65"/>
        <v>3335980.445</v>
      </c>
      <c r="AZ28" s="49">
        <f t="shared" si="65"/>
        <v>3288275.757</v>
      </c>
      <c r="BA28" s="50">
        <f t="shared" si="65"/>
        <v>3460277.703</v>
      </c>
      <c r="BB28" s="49">
        <f t="shared" ref="BB28:BB29" si="73">SUM(AP28:BA28)</f>
        <v>36471685.74</v>
      </c>
      <c r="BC28" s="2"/>
      <c r="BD28" s="2"/>
      <c r="BE28" s="23"/>
      <c r="BF28" s="90"/>
      <c r="BG28" s="83"/>
      <c r="BH28" s="83"/>
      <c r="BI28" s="11"/>
      <c r="BJ28" s="11"/>
      <c r="BK28" s="11"/>
      <c r="BL28" s="11"/>
      <c r="BM28" s="2"/>
      <c r="BN28" s="23"/>
      <c r="BO28" s="90"/>
      <c r="BP28" s="83"/>
      <c r="BQ28" s="83"/>
      <c r="BR28" s="11"/>
      <c r="BS28" s="11"/>
      <c r="BT28" s="11"/>
      <c r="BU28" s="11"/>
      <c r="BV28" s="2"/>
      <c r="BW28" s="23"/>
      <c r="BX28" s="90"/>
      <c r="BY28" s="83"/>
      <c r="BZ28" s="83"/>
      <c r="CA28" s="11"/>
      <c r="CB28" s="11"/>
      <c r="CC28" s="11"/>
      <c r="CD28" s="11"/>
      <c r="CE28" s="2"/>
      <c r="CF28" s="2"/>
      <c r="CG28" s="2"/>
      <c r="CH28" s="2"/>
      <c r="CI28" s="2"/>
    </row>
    <row r="29" ht="12.0" customHeight="1">
      <c r="A29" s="54"/>
      <c r="B29" s="55" t="s">
        <v>107</v>
      </c>
      <c r="C29" s="56">
        <f t="shared" ref="C29:N29" si="66">C32*C12</f>
        <v>968755.824</v>
      </c>
      <c r="D29" s="56">
        <f t="shared" si="66"/>
        <v>1192160.812</v>
      </c>
      <c r="E29" s="56">
        <f t="shared" si="66"/>
        <v>1770586.161</v>
      </c>
      <c r="F29" s="56">
        <f t="shared" si="66"/>
        <v>1347346.801</v>
      </c>
      <c r="G29" s="56">
        <f t="shared" si="66"/>
        <v>1019141.764</v>
      </c>
      <c r="H29" s="56">
        <f t="shared" si="66"/>
        <v>1004675.523</v>
      </c>
      <c r="I29" s="56">
        <f t="shared" si="66"/>
        <v>725473.6916</v>
      </c>
      <c r="J29" s="56">
        <f t="shared" si="66"/>
        <v>886661.1003</v>
      </c>
      <c r="K29" s="56">
        <f t="shared" si="66"/>
        <v>851340.9894</v>
      </c>
      <c r="L29" s="56">
        <f t="shared" si="66"/>
        <v>922182.6678</v>
      </c>
      <c r="M29" s="56">
        <f t="shared" si="66"/>
        <v>1651561.935</v>
      </c>
      <c r="N29" s="56">
        <f t="shared" si="66"/>
        <v>2289645.043</v>
      </c>
      <c r="O29" s="56">
        <f>SUM(C29:N29)</f>
        <v>14629532.31</v>
      </c>
      <c r="P29" s="56">
        <f t="shared" ref="P29:AA29" si="67">P32*P12</f>
        <v>2507931.56</v>
      </c>
      <c r="Q29" s="56">
        <f t="shared" si="67"/>
        <v>1798013.032</v>
      </c>
      <c r="R29" s="56">
        <f t="shared" si="67"/>
        <v>1968916.975</v>
      </c>
      <c r="S29" s="56">
        <f t="shared" si="67"/>
        <v>1993298.13</v>
      </c>
      <c r="T29" s="58">
        <f t="shared" si="67"/>
        <v>2363260.184</v>
      </c>
      <c r="U29" s="56">
        <f t="shared" si="67"/>
        <v>2031398.478</v>
      </c>
      <c r="V29" s="56">
        <f t="shared" si="67"/>
        <v>2150376.577</v>
      </c>
      <c r="W29" s="56">
        <f t="shared" si="67"/>
        <v>2141549.515</v>
      </c>
      <c r="X29" s="56">
        <f t="shared" si="67"/>
        <v>2378886.385</v>
      </c>
      <c r="Y29" s="56">
        <f t="shared" si="67"/>
        <v>2463097.346</v>
      </c>
      <c r="Z29" s="56">
        <f t="shared" si="67"/>
        <v>3152952.529</v>
      </c>
      <c r="AA29" s="56">
        <f t="shared" si="67"/>
        <v>3556115.849</v>
      </c>
      <c r="AB29" s="56">
        <f t="shared" si="68"/>
        <v>28505796.56</v>
      </c>
      <c r="AC29" s="56">
        <f t="shared" ref="AC29:AN29" si="69">AC32*AC12</f>
        <v>3578098.914</v>
      </c>
      <c r="AD29" s="56">
        <f t="shared" si="69"/>
        <v>3323805.121</v>
      </c>
      <c r="AE29" s="56">
        <f t="shared" si="69"/>
        <v>3155880.324</v>
      </c>
      <c r="AF29" s="56">
        <f t="shared" si="69"/>
        <v>3140562.352</v>
      </c>
      <c r="AG29" s="56">
        <f t="shared" si="69"/>
        <v>3304076.955</v>
      </c>
      <c r="AH29" s="56">
        <f t="shared" si="69"/>
        <v>3023699</v>
      </c>
      <c r="AI29" s="56">
        <f t="shared" si="69"/>
        <v>2947721</v>
      </c>
      <c r="AJ29" s="56">
        <f t="shared" si="69"/>
        <v>2662418</v>
      </c>
      <c r="AK29" s="56">
        <f t="shared" si="69"/>
        <v>2480623</v>
      </c>
      <c r="AL29" s="56">
        <f t="shared" si="69"/>
        <v>2412923</v>
      </c>
      <c r="AM29" s="56">
        <f t="shared" si="69"/>
        <v>2583212</v>
      </c>
      <c r="AN29" s="56">
        <f t="shared" si="69"/>
        <v>2767131</v>
      </c>
      <c r="AO29" s="56">
        <f t="shared" si="70"/>
        <v>35380150.67</v>
      </c>
      <c r="AP29" s="56">
        <f t="shared" ref="AP29:AS29" si="71">AP32*AP12</f>
        <v>2906901</v>
      </c>
      <c r="AQ29" s="56">
        <f t="shared" si="71"/>
        <v>2530773</v>
      </c>
      <c r="AR29" s="56">
        <f t="shared" si="71"/>
        <v>2799776</v>
      </c>
      <c r="AS29" s="56">
        <f t="shared" si="71"/>
        <v>2854986</v>
      </c>
      <c r="AT29" s="56">
        <v>2911901.0</v>
      </c>
      <c r="AU29" s="56">
        <f t="shared" ref="AU29:BA29" si="72">AU32*AU12</f>
        <v>2544840</v>
      </c>
      <c r="AV29" s="56">
        <f t="shared" si="72"/>
        <v>0</v>
      </c>
      <c r="AW29" s="56">
        <f t="shared" si="72"/>
        <v>0</v>
      </c>
      <c r="AX29" s="56">
        <f t="shared" si="72"/>
        <v>0</v>
      </c>
      <c r="AY29" s="56">
        <f t="shared" si="72"/>
        <v>0</v>
      </c>
      <c r="AZ29" s="56">
        <f t="shared" si="72"/>
        <v>0</v>
      </c>
      <c r="BA29" s="58">
        <f t="shared" si="72"/>
        <v>0</v>
      </c>
      <c r="BB29" s="56">
        <f t="shared" si="73"/>
        <v>16549177</v>
      </c>
      <c r="BC29" s="16">
        <f>SUM(AC29:AE29)</f>
        <v>10057784.36</v>
      </c>
      <c r="BD29" s="16">
        <f>SUM(AF29:AH29)</f>
        <v>9468338.308</v>
      </c>
      <c r="BE29" s="4"/>
      <c r="BF29" s="4"/>
      <c r="BG29" s="4"/>
      <c r="BH29" s="4"/>
      <c r="BI29" s="4"/>
      <c r="BJ29" s="4"/>
      <c r="BK29" s="4"/>
      <c r="BL29" s="4"/>
      <c r="BM29" s="2"/>
      <c r="BN29" s="4"/>
      <c r="BO29" s="4"/>
      <c r="BP29" s="4"/>
      <c r="BQ29" s="4"/>
      <c r="BR29" s="4"/>
      <c r="BS29" s="4"/>
      <c r="BT29" s="4"/>
      <c r="BU29" s="4"/>
      <c r="BV29" s="2"/>
      <c r="BW29" s="4"/>
      <c r="BX29" s="4"/>
      <c r="BY29" s="4"/>
      <c r="BZ29" s="4"/>
      <c r="CA29" s="4"/>
      <c r="CB29" s="4"/>
      <c r="CC29" s="4"/>
      <c r="CD29" s="4"/>
      <c r="CE29" s="2"/>
      <c r="CF29" s="2"/>
      <c r="CG29" s="2"/>
      <c r="CH29" s="2"/>
      <c r="CI29" s="2"/>
    </row>
    <row r="30" ht="12.0" customHeight="1">
      <c r="A30" s="54"/>
      <c r="B30" s="91" t="s">
        <v>72</v>
      </c>
      <c r="C30" s="37">
        <f t="shared" ref="C30:BB30" si="74">C29/C7</f>
        <v>31250.18787</v>
      </c>
      <c r="D30" s="37">
        <f t="shared" si="74"/>
        <v>42577.17187</v>
      </c>
      <c r="E30" s="37">
        <f t="shared" si="74"/>
        <v>57115.6826</v>
      </c>
      <c r="F30" s="37">
        <f t="shared" si="74"/>
        <v>44911.56004</v>
      </c>
      <c r="G30" s="37">
        <f t="shared" si="74"/>
        <v>32875.54076</v>
      </c>
      <c r="H30" s="37">
        <f t="shared" si="74"/>
        <v>33489.18411</v>
      </c>
      <c r="I30" s="37">
        <f t="shared" si="74"/>
        <v>23402.37715</v>
      </c>
      <c r="J30" s="37">
        <f t="shared" si="74"/>
        <v>28601.97098</v>
      </c>
      <c r="K30" s="37">
        <f t="shared" si="74"/>
        <v>28378.03298</v>
      </c>
      <c r="L30" s="37">
        <f t="shared" si="74"/>
        <v>29747.82799</v>
      </c>
      <c r="M30" s="37">
        <f t="shared" si="74"/>
        <v>55052.0645</v>
      </c>
      <c r="N30" s="37">
        <f t="shared" si="74"/>
        <v>73859.51751</v>
      </c>
      <c r="O30" s="39">
        <f t="shared" si="74"/>
        <v>40080.91044</v>
      </c>
      <c r="P30" s="37">
        <f t="shared" si="74"/>
        <v>80901.01805</v>
      </c>
      <c r="Q30" s="37">
        <f t="shared" si="74"/>
        <v>64214.75113</v>
      </c>
      <c r="R30" s="37">
        <f t="shared" si="74"/>
        <v>63513.45081</v>
      </c>
      <c r="S30" s="37">
        <f t="shared" si="74"/>
        <v>66443.27102</v>
      </c>
      <c r="T30" s="38">
        <f t="shared" si="74"/>
        <v>76234.19947</v>
      </c>
      <c r="U30" s="37">
        <f t="shared" si="74"/>
        <v>67713.28259</v>
      </c>
      <c r="V30" s="37">
        <f t="shared" si="74"/>
        <v>69366.98635</v>
      </c>
      <c r="W30" s="37">
        <f t="shared" si="74"/>
        <v>69082.24243</v>
      </c>
      <c r="X30" s="37">
        <f t="shared" si="74"/>
        <v>79296.21282</v>
      </c>
      <c r="Y30" s="37">
        <f t="shared" si="74"/>
        <v>79454.7531</v>
      </c>
      <c r="Z30" s="37">
        <f t="shared" si="74"/>
        <v>105098.4176</v>
      </c>
      <c r="AA30" s="37">
        <f t="shared" si="74"/>
        <v>114713.4145</v>
      </c>
      <c r="AB30" s="39">
        <f t="shared" si="74"/>
        <v>78098.07276</v>
      </c>
      <c r="AC30" s="37">
        <f t="shared" si="74"/>
        <v>115422.5456</v>
      </c>
      <c r="AD30" s="37">
        <f t="shared" si="74"/>
        <v>114613.9697</v>
      </c>
      <c r="AE30" s="37">
        <f t="shared" si="74"/>
        <v>101802.5911</v>
      </c>
      <c r="AF30" s="37">
        <f t="shared" si="74"/>
        <v>104685.4117</v>
      </c>
      <c r="AG30" s="37">
        <f t="shared" si="74"/>
        <v>106583.1276</v>
      </c>
      <c r="AH30" s="37">
        <f t="shared" si="74"/>
        <v>100789.9667</v>
      </c>
      <c r="AI30" s="37">
        <f t="shared" si="74"/>
        <v>95087.77419</v>
      </c>
      <c r="AJ30" s="37">
        <f t="shared" si="74"/>
        <v>85884.45161</v>
      </c>
      <c r="AK30" s="37">
        <f t="shared" si="74"/>
        <v>82687.43333</v>
      </c>
      <c r="AL30" s="37">
        <f t="shared" si="74"/>
        <v>77836.22581</v>
      </c>
      <c r="AM30" s="37">
        <f t="shared" si="74"/>
        <v>86107.06667</v>
      </c>
      <c r="AN30" s="37">
        <f t="shared" si="74"/>
        <v>89262.29032</v>
      </c>
      <c r="AO30" s="39">
        <f t="shared" si="74"/>
        <v>96667.07833</v>
      </c>
      <c r="AP30" s="37">
        <f t="shared" si="74"/>
        <v>93771</v>
      </c>
      <c r="AQ30" s="37">
        <f t="shared" si="74"/>
        <v>90384.75</v>
      </c>
      <c r="AR30" s="37">
        <f t="shared" si="74"/>
        <v>90315.35484</v>
      </c>
      <c r="AS30" s="37">
        <f t="shared" si="74"/>
        <v>95166.2</v>
      </c>
      <c r="AT30" s="37">
        <f t="shared" si="74"/>
        <v>93932.29032</v>
      </c>
      <c r="AU30" s="37">
        <f t="shared" si="74"/>
        <v>84828</v>
      </c>
      <c r="AV30" s="37">
        <f t="shared" si="74"/>
        <v>0</v>
      </c>
      <c r="AW30" s="37">
        <f t="shared" si="74"/>
        <v>0</v>
      </c>
      <c r="AX30" s="37">
        <f t="shared" si="74"/>
        <v>0</v>
      </c>
      <c r="AY30" s="37">
        <f t="shared" si="74"/>
        <v>0</v>
      </c>
      <c r="AZ30" s="37">
        <f t="shared" si="74"/>
        <v>0</v>
      </c>
      <c r="BA30" s="38">
        <f t="shared" si="74"/>
        <v>0</v>
      </c>
      <c r="BB30" s="39">
        <f t="shared" si="74"/>
        <v>91431.91713</v>
      </c>
      <c r="BC30" s="2"/>
      <c r="BD30" s="2"/>
      <c r="BE30" s="4"/>
      <c r="BF30" s="4"/>
      <c r="BG30" s="4"/>
      <c r="BH30" s="4"/>
      <c r="BI30" s="4"/>
      <c r="BJ30" s="4"/>
      <c r="BK30" s="4"/>
      <c r="BL30" s="4"/>
      <c r="BM30" s="2"/>
      <c r="BN30" s="4"/>
      <c r="BO30" s="4"/>
      <c r="BP30" s="4"/>
      <c r="BQ30" s="4"/>
      <c r="BR30" s="4"/>
      <c r="BS30" s="4"/>
      <c r="BT30" s="4"/>
      <c r="BU30" s="4"/>
      <c r="BV30" s="2"/>
      <c r="BW30" s="4"/>
      <c r="BX30" s="4"/>
      <c r="BY30" s="4"/>
      <c r="BZ30" s="4"/>
      <c r="CA30" s="4"/>
      <c r="CB30" s="4"/>
      <c r="CC30" s="4"/>
      <c r="CD30" s="4"/>
      <c r="CE30" s="2"/>
      <c r="CF30" s="2"/>
      <c r="CG30" s="2"/>
      <c r="CH30" s="2"/>
      <c r="CI30" s="2"/>
    </row>
    <row r="31" ht="12.0" customHeight="1">
      <c r="A31" s="54"/>
      <c r="B31" s="61" t="s">
        <v>108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88">
        <v>0.65</v>
      </c>
      <c r="Q31" s="88">
        <v>0.6</v>
      </c>
      <c r="R31" s="88">
        <v>0.62</v>
      </c>
      <c r="S31" s="88">
        <v>0.69</v>
      </c>
      <c r="T31" s="92">
        <v>0.71</v>
      </c>
      <c r="U31" s="88">
        <v>0.74</v>
      </c>
      <c r="V31" s="88">
        <v>0.73</v>
      </c>
      <c r="W31" s="88">
        <v>0.72</v>
      </c>
      <c r="X31" s="88">
        <v>0.71</v>
      </c>
      <c r="Y31" s="88">
        <v>0.73</v>
      </c>
      <c r="Z31" s="88">
        <v>0.745</v>
      </c>
      <c r="AA31" s="88">
        <v>0.75</v>
      </c>
      <c r="AB31" s="88">
        <f t="shared" ref="AB31:AB32" si="79">AB28/AB11</f>
        <v>0.703542998</v>
      </c>
      <c r="AC31" s="88">
        <v>0.81</v>
      </c>
      <c r="AD31" s="88">
        <v>0.76</v>
      </c>
      <c r="AE31" s="88">
        <v>0.77</v>
      </c>
      <c r="AF31" s="88">
        <v>0.78</v>
      </c>
      <c r="AG31" s="88">
        <v>0.8</v>
      </c>
      <c r="AH31" s="88">
        <v>0.8200000000000001</v>
      </c>
      <c r="AI31" s="88">
        <v>0.81</v>
      </c>
      <c r="AJ31" s="88">
        <v>0.79</v>
      </c>
      <c r="AK31" s="88">
        <v>0.8</v>
      </c>
      <c r="AL31" s="88">
        <v>0.81</v>
      </c>
      <c r="AM31" s="88">
        <v>0.8150000000000001</v>
      </c>
      <c r="AN31" s="88">
        <v>0.8350000000000001</v>
      </c>
      <c r="AO31" s="88">
        <f t="shared" ref="AO31:AO32" si="81">AO28/AO11</f>
        <v>0.80038538</v>
      </c>
      <c r="AP31" s="88">
        <f t="shared" ref="AP31:AQ31" si="75">AO31+1%</f>
        <v>0.81038538</v>
      </c>
      <c r="AQ31" s="88">
        <f t="shared" si="75"/>
        <v>0.82038538</v>
      </c>
      <c r="AR31" s="88">
        <f t="shared" ref="AR31:AS31" si="76">AQ31+0.5%</f>
        <v>0.82538538</v>
      </c>
      <c r="AS31" s="88">
        <f t="shared" si="76"/>
        <v>0.83038538</v>
      </c>
      <c r="AT31" s="88">
        <f>AS31+1.5%</f>
        <v>0.84538538</v>
      </c>
      <c r="AU31" s="88">
        <f t="shared" ref="AU31:BA31" si="77">AT31+0.5%</f>
        <v>0.85038538</v>
      </c>
      <c r="AV31" s="88">
        <f t="shared" si="77"/>
        <v>0.85538538</v>
      </c>
      <c r="AW31" s="88">
        <f t="shared" si="77"/>
        <v>0.86038538</v>
      </c>
      <c r="AX31" s="88">
        <f t="shared" si="77"/>
        <v>0.86538538</v>
      </c>
      <c r="AY31" s="88">
        <f t="shared" si="77"/>
        <v>0.87038538</v>
      </c>
      <c r="AZ31" s="88">
        <f t="shared" si="77"/>
        <v>0.87538538</v>
      </c>
      <c r="BA31" s="88">
        <f t="shared" si="77"/>
        <v>0.88038538</v>
      </c>
      <c r="BB31" s="88">
        <f>BB28/BB11</f>
        <v>0.8504531564</v>
      </c>
      <c r="BC31" s="66">
        <f>AVERAGE(AC31:AE31)</f>
        <v>0.78</v>
      </c>
      <c r="BD31" s="66">
        <f>AVERAGE(AF31:AH31)</f>
        <v>0.8</v>
      </c>
      <c r="BE31" s="4"/>
      <c r="BF31" s="4"/>
      <c r="BG31" s="4"/>
      <c r="BH31" s="4"/>
      <c r="BI31" s="4"/>
      <c r="BJ31" s="4"/>
      <c r="BK31" s="4"/>
      <c r="BL31" s="4"/>
      <c r="BM31" s="2"/>
      <c r="BN31" s="4"/>
      <c r="BO31" s="4"/>
      <c r="BP31" s="4"/>
      <c r="BQ31" s="4"/>
      <c r="BR31" s="4"/>
      <c r="BS31" s="4"/>
      <c r="BT31" s="4"/>
      <c r="BU31" s="4"/>
      <c r="BV31" s="2"/>
      <c r="BW31" s="4"/>
      <c r="BX31" s="4"/>
      <c r="BY31" s="4"/>
      <c r="BZ31" s="4"/>
      <c r="CA31" s="4"/>
      <c r="CB31" s="4"/>
      <c r="CC31" s="4"/>
      <c r="CD31" s="4"/>
      <c r="CE31" s="2"/>
      <c r="CF31" s="2"/>
      <c r="CG31" s="2"/>
      <c r="CH31" s="2"/>
      <c r="CI31" s="2"/>
    </row>
    <row r="32" ht="12.0" customHeight="1">
      <c r="A32" s="67"/>
      <c r="B32" s="68" t="s">
        <v>109</v>
      </c>
      <c r="C32" s="53">
        <f t="shared" ref="C32:AA32" si="78">C4</f>
        <v>0.3815444369</v>
      </c>
      <c r="D32" s="53">
        <f t="shared" si="78"/>
        <v>0.5221348811</v>
      </c>
      <c r="E32" s="53">
        <f t="shared" si="78"/>
        <v>0.6695983704</v>
      </c>
      <c r="F32" s="53">
        <f t="shared" si="78"/>
        <v>0.4901235875</v>
      </c>
      <c r="G32" s="53">
        <f t="shared" si="78"/>
        <v>0.3464114399</v>
      </c>
      <c r="H32" s="53">
        <f t="shared" si="78"/>
        <v>0.3512900612</v>
      </c>
      <c r="I32" s="53">
        <f t="shared" si="78"/>
        <v>0.2594261991</v>
      </c>
      <c r="J32" s="53">
        <f t="shared" si="78"/>
        <v>0.3272376089</v>
      </c>
      <c r="K32" s="53">
        <f t="shared" si="78"/>
        <v>0.3158347104</v>
      </c>
      <c r="L32" s="53">
        <f t="shared" si="78"/>
        <v>0.3138477697</v>
      </c>
      <c r="M32" s="53">
        <f t="shared" si="78"/>
        <v>0.530143859</v>
      </c>
      <c r="N32" s="53">
        <f t="shared" si="78"/>
        <v>0.6781686025</v>
      </c>
      <c r="O32" s="53">
        <f t="shared" si="78"/>
        <v>0.4328219817</v>
      </c>
      <c r="P32" s="53">
        <f t="shared" si="78"/>
        <v>0.7497082574</v>
      </c>
      <c r="Q32" s="53">
        <f t="shared" si="78"/>
        <v>0.6283674139</v>
      </c>
      <c r="R32" s="53">
        <f t="shared" si="78"/>
        <v>0.5959731147</v>
      </c>
      <c r="S32" s="53">
        <f t="shared" si="78"/>
        <v>0.6030046286</v>
      </c>
      <c r="T32" s="69">
        <f t="shared" si="78"/>
        <v>0.6708808134</v>
      </c>
      <c r="U32" s="53">
        <f t="shared" si="78"/>
        <v>0.612806525</v>
      </c>
      <c r="V32" s="53">
        <f t="shared" si="78"/>
        <v>0.6907067316</v>
      </c>
      <c r="W32" s="53">
        <f t="shared" si="78"/>
        <v>0.6805528813</v>
      </c>
      <c r="X32" s="53">
        <f t="shared" si="78"/>
        <v>0.724282962</v>
      </c>
      <c r="Y32" s="53">
        <f t="shared" si="78"/>
        <v>0.6878544303</v>
      </c>
      <c r="Z32" s="53">
        <f t="shared" si="78"/>
        <v>0.8534803002</v>
      </c>
      <c r="AA32" s="53">
        <f t="shared" si="78"/>
        <v>0.9020335804</v>
      </c>
      <c r="AB32" s="53">
        <f t="shared" si="79"/>
        <v>0.7053199896</v>
      </c>
      <c r="AC32" s="53">
        <f t="shared" ref="AC32:AN32" si="80">AC4</f>
        <v>0.9175301925</v>
      </c>
      <c r="AD32" s="53">
        <f t="shared" si="80"/>
        <v>0.932973835</v>
      </c>
      <c r="AE32" s="53">
        <f t="shared" si="80"/>
        <v>0.8637293076</v>
      </c>
      <c r="AF32" s="53">
        <f t="shared" si="80"/>
        <v>0.9008683941</v>
      </c>
      <c r="AG32" s="53">
        <f t="shared" si="80"/>
        <v>0.9176887767</v>
      </c>
      <c r="AH32" s="53">
        <f t="shared" si="80"/>
        <v>0.8906248573</v>
      </c>
      <c r="AI32" s="53">
        <f t="shared" si="80"/>
        <v>0.8991153795</v>
      </c>
      <c r="AJ32" s="53">
        <f t="shared" si="80"/>
        <v>0.86107832</v>
      </c>
      <c r="AK32" s="53">
        <f t="shared" si="80"/>
        <v>0.8264324674</v>
      </c>
      <c r="AL32" s="53">
        <f t="shared" si="80"/>
        <v>0.7765893797</v>
      </c>
      <c r="AM32" s="53">
        <f t="shared" si="80"/>
        <v>0.8448716607</v>
      </c>
      <c r="AN32" s="53">
        <f t="shared" si="80"/>
        <v>0.8822549842</v>
      </c>
      <c r="AO32" s="53">
        <f t="shared" si="81"/>
        <v>0.8785569465</v>
      </c>
      <c r="AP32" s="53">
        <f t="shared" ref="AP32:BB32" si="82">AP4</f>
        <v>0.9326241897</v>
      </c>
      <c r="AQ32" s="53">
        <f t="shared" si="82"/>
        <v>0.9328473933</v>
      </c>
      <c r="AR32" s="53">
        <f t="shared" si="82"/>
        <v>0.931767528</v>
      </c>
      <c r="AS32" s="53">
        <f t="shared" si="82"/>
        <v>0.9224847305</v>
      </c>
      <c r="AT32" s="53">
        <f t="shared" si="82"/>
        <v>0.9011674724</v>
      </c>
      <c r="AU32" s="53">
        <f t="shared" si="82"/>
        <v>0.8907435253</v>
      </c>
      <c r="AV32" s="53">
        <f t="shared" si="82"/>
        <v>0</v>
      </c>
      <c r="AW32" s="53">
        <f t="shared" si="82"/>
        <v>0</v>
      </c>
      <c r="AX32" s="53">
        <f t="shared" si="82"/>
        <v>0</v>
      </c>
      <c r="AY32" s="53">
        <f t="shared" si="82"/>
        <v>0</v>
      </c>
      <c r="AZ32" s="53">
        <f t="shared" si="82"/>
        <v>0</v>
      </c>
      <c r="BA32" s="69">
        <f t="shared" si="82"/>
        <v>0</v>
      </c>
      <c r="BB32" s="53">
        <f t="shared" si="82"/>
        <v>0.9184911509</v>
      </c>
      <c r="BC32" s="66">
        <f t="shared" ref="BC32:BD32" si="83">BC29/BC12</f>
        <v>0.9047957234</v>
      </c>
      <c r="BD32" s="66">
        <f t="shared" si="83"/>
        <v>0.9033282763</v>
      </c>
      <c r="BE32" s="41"/>
      <c r="BF32" s="41" t="s">
        <v>55</v>
      </c>
      <c r="BG32" s="93" t="s">
        <v>56</v>
      </c>
      <c r="BH32" s="22"/>
      <c r="BI32" s="93" t="s">
        <v>57</v>
      </c>
      <c r="BJ32" s="22"/>
      <c r="BK32" s="93" t="s">
        <v>58</v>
      </c>
      <c r="BL32" s="22"/>
      <c r="BM32" s="2"/>
      <c r="BN32" s="41"/>
      <c r="BO32" s="41" t="s">
        <v>55</v>
      </c>
      <c r="BP32" s="93" t="s">
        <v>56</v>
      </c>
      <c r="BQ32" s="22"/>
      <c r="BR32" s="93" t="s">
        <v>57</v>
      </c>
      <c r="BS32" s="22"/>
      <c r="BT32" s="93" t="s">
        <v>58</v>
      </c>
      <c r="BU32" s="22"/>
      <c r="BV32" s="2"/>
      <c r="BW32" s="41"/>
      <c r="BX32" s="41" t="s">
        <v>55</v>
      </c>
      <c r="BY32" s="41" t="s">
        <v>56</v>
      </c>
      <c r="BZ32" s="41"/>
      <c r="CA32" s="41" t="s">
        <v>57</v>
      </c>
      <c r="CB32" s="41"/>
      <c r="CC32" s="93" t="s">
        <v>58</v>
      </c>
      <c r="CD32" s="22"/>
      <c r="CE32" s="35"/>
      <c r="CF32" s="35"/>
      <c r="CG32" s="35"/>
      <c r="CH32" s="35"/>
      <c r="CI32" s="35"/>
    </row>
    <row r="33" ht="12.0" customHeight="1">
      <c r="A33" s="6"/>
      <c r="B33" s="36" t="s">
        <v>110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9"/>
      <c r="P33" s="37"/>
      <c r="Q33" s="37"/>
      <c r="R33" s="37"/>
      <c r="S33" s="37"/>
      <c r="T33" s="38"/>
      <c r="U33" s="37"/>
      <c r="V33" s="37"/>
      <c r="W33" s="37">
        <v>52279.0</v>
      </c>
      <c r="X33" s="37">
        <v>169436.7</v>
      </c>
      <c r="Y33" s="37">
        <v>243322.0</v>
      </c>
      <c r="Z33" s="37">
        <v>205437.0</v>
      </c>
      <c r="AA33" s="37">
        <v>151661.6</v>
      </c>
      <c r="AB33" s="39"/>
      <c r="AC33" s="37">
        <v>115176.0</v>
      </c>
      <c r="AD33" s="37">
        <v>99539.0</v>
      </c>
      <c r="AE33" s="37">
        <v>105725.0</v>
      </c>
      <c r="AF33" s="37">
        <v>130274.0</v>
      </c>
      <c r="AG33" s="37">
        <v>114641.0</v>
      </c>
      <c r="AH33" s="37">
        <v>133505.0</v>
      </c>
      <c r="AI33" s="37">
        <v>142394.0</v>
      </c>
      <c r="AJ33" s="37">
        <v>137196.0</v>
      </c>
      <c r="AK33" s="37">
        <v>154535.0</v>
      </c>
      <c r="AL33" s="37">
        <v>188980.0</v>
      </c>
      <c r="AM33" s="37">
        <v>165413.0</v>
      </c>
      <c r="AN33" s="37">
        <v>133290.0</v>
      </c>
      <c r="AO33" s="39"/>
      <c r="AP33" s="37">
        <v>88805.0</v>
      </c>
      <c r="AQ33" s="37">
        <v>70250.0</v>
      </c>
      <c r="AR33" s="37">
        <v>70034.0</v>
      </c>
      <c r="AS33" s="37">
        <v>76465.0</v>
      </c>
      <c r="AT33" s="37">
        <v>131895.0</v>
      </c>
      <c r="AU33" s="37">
        <v>138873.0</v>
      </c>
      <c r="AV33" s="37"/>
      <c r="AW33" s="37"/>
      <c r="AX33" s="37"/>
      <c r="AY33" s="37"/>
      <c r="AZ33" s="37"/>
      <c r="BA33" s="38"/>
      <c r="BB33" s="39"/>
      <c r="BC33" s="2"/>
      <c r="BD33" s="2"/>
      <c r="BE33" s="42" t="s">
        <v>111</v>
      </c>
      <c r="BF33" s="43" t="s">
        <v>84</v>
      </c>
      <c r="BG33" s="94" t="s">
        <v>62</v>
      </c>
      <c r="BH33" s="29" t="s">
        <v>63</v>
      </c>
      <c r="BI33" s="95" t="s">
        <v>62</v>
      </c>
      <c r="BJ33" s="43" t="s">
        <v>63</v>
      </c>
      <c r="BK33" s="95" t="s">
        <v>62</v>
      </c>
      <c r="BL33" s="43" t="s">
        <v>63</v>
      </c>
      <c r="BM33" s="2"/>
      <c r="BN33" s="42" t="s">
        <v>111</v>
      </c>
      <c r="BO33" s="43" t="s">
        <v>84</v>
      </c>
      <c r="BP33" s="94" t="s">
        <v>62</v>
      </c>
      <c r="BQ33" s="29" t="s">
        <v>63</v>
      </c>
      <c r="BR33" s="95" t="s">
        <v>62</v>
      </c>
      <c r="BS33" s="43" t="s">
        <v>63</v>
      </c>
      <c r="BT33" s="95" t="s">
        <v>62</v>
      </c>
      <c r="BU33" s="43" t="s">
        <v>63</v>
      </c>
      <c r="BV33" s="2"/>
      <c r="BW33" s="42" t="s">
        <v>111</v>
      </c>
      <c r="BX33" s="43" t="s">
        <v>84</v>
      </c>
      <c r="BY33" s="94" t="s">
        <v>62</v>
      </c>
      <c r="BZ33" s="29" t="s">
        <v>63</v>
      </c>
      <c r="CA33" s="95" t="s">
        <v>62</v>
      </c>
      <c r="CB33" s="43" t="s">
        <v>63</v>
      </c>
      <c r="CC33" s="95" t="s">
        <v>62</v>
      </c>
      <c r="CD33" s="43" t="s">
        <v>63</v>
      </c>
      <c r="CE33" s="2"/>
      <c r="CF33" s="2"/>
      <c r="CG33" s="2"/>
      <c r="CH33" s="2"/>
      <c r="CI33" s="2"/>
    </row>
    <row r="34" ht="12.0" customHeight="1">
      <c r="A34" s="6"/>
      <c r="B34" s="91" t="s">
        <v>112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9"/>
      <c r="P34" s="37"/>
      <c r="Q34" s="37"/>
      <c r="R34" s="37"/>
      <c r="S34" s="37"/>
      <c r="T34" s="38"/>
      <c r="U34" s="37"/>
      <c r="V34" s="37"/>
      <c r="W34" s="37">
        <f t="shared" ref="W34:AA34" si="84">W33/W8/W7</f>
        <v>22.4855914</v>
      </c>
      <c r="X34" s="37">
        <f t="shared" si="84"/>
        <v>75.3052</v>
      </c>
      <c r="Y34" s="37">
        <f t="shared" si="84"/>
        <v>104.6546237</v>
      </c>
      <c r="Z34" s="37">
        <f t="shared" si="84"/>
        <v>91.30533333</v>
      </c>
      <c r="AA34" s="37">
        <f t="shared" si="84"/>
        <v>65.2307957</v>
      </c>
      <c r="AB34" s="39"/>
      <c r="AC34" s="37">
        <f t="shared" ref="AC34:AN34" si="85">AC33/AC8/AC7</f>
        <v>49.53806452</v>
      </c>
      <c r="AD34" s="37">
        <f t="shared" si="85"/>
        <v>45.76505747</v>
      </c>
      <c r="AE34" s="37">
        <f t="shared" si="85"/>
        <v>45.47311828</v>
      </c>
      <c r="AF34" s="37">
        <f t="shared" si="85"/>
        <v>57.89955556</v>
      </c>
      <c r="AG34" s="37">
        <f t="shared" si="85"/>
        <v>49.30795699</v>
      </c>
      <c r="AH34" s="37">
        <f t="shared" si="85"/>
        <v>59.33555556</v>
      </c>
      <c r="AI34" s="37">
        <f t="shared" si="85"/>
        <v>61.24473118</v>
      </c>
      <c r="AJ34" s="37">
        <f t="shared" si="85"/>
        <v>64.14025245</v>
      </c>
      <c r="AK34" s="37">
        <f t="shared" si="85"/>
        <v>74.65458937</v>
      </c>
      <c r="AL34" s="37">
        <f t="shared" si="85"/>
        <v>88.34969612</v>
      </c>
      <c r="AM34" s="37">
        <f t="shared" si="85"/>
        <v>79.90966184</v>
      </c>
      <c r="AN34" s="37">
        <f t="shared" si="85"/>
        <v>62.3141655</v>
      </c>
      <c r="AO34" s="39"/>
      <c r="AP34" s="37">
        <f t="shared" ref="AP34:BA34" si="86">AP33/AP8/AP7</f>
        <v>42.12760911</v>
      </c>
      <c r="AQ34" s="37">
        <f t="shared" si="86"/>
        <v>36.8960084</v>
      </c>
      <c r="AR34" s="37">
        <f t="shared" si="86"/>
        <v>33.71882523</v>
      </c>
      <c r="AS34" s="37">
        <f t="shared" si="86"/>
        <v>38.04228856</v>
      </c>
      <c r="AT34" s="37">
        <f t="shared" si="86"/>
        <v>62.56878558</v>
      </c>
      <c r="AU34" s="37">
        <f t="shared" si="86"/>
        <v>68.075</v>
      </c>
      <c r="AV34" s="37">
        <f t="shared" si="86"/>
        <v>0</v>
      </c>
      <c r="AW34" s="37">
        <f t="shared" si="86"/>
        <v>0</v>
      </c>
      <c r="AX34" s="37">
        <f t="shared" si="86"/>
        <v>0</v>
      </c>
      <c r="AY34" s="37">
        <f t="shared" si="86"/>
        <v>0</v>
      </c>
      <c r="AZ34" s="37">
        <f t="shared" si="86"/>
        <v>0</v>
      </c>
      <c r="BA34" s="37">
        <f t="shared" si="86"/>
        <v>0</v>
      </c>
      <c r="BB34" s="39"/>
      <c r="BC34" s="2"/>
      <c r="BD34" s="2"/>
      <c r="BE34" s="46" t="s">
        <v>113</v>
      </c>
      <c r="BF34" s="41">
        <f t="shared" ref="BF34:BK34" si="87">BF25</f>
        <v>4362</v>
      </c>
      <c r="BG34" s="41">
        <f t="shared" si="87"/>
        <v>4875</v>
      </c>
      <c r="BH34" s="41">
        <f t="shared" si="87"/>
        <v>4787</v>
      </c>
      <c r="BI34" s="41">
        <f t="shared" si="87"/>
        <v>5250</v>
      </c>
      <c r="BJ34" s="41">
        <f t="shared" si="87"/>
        <v>4181</v>
      </c>
      <c r="BK34" s="41">
        <f t="shared" si="87"/>
        <v>6210</v>
      </c>
      <c r="BL34" s="41"/>
      <c r="BM34" s="2"/>
      <c r="BN34" s="46" t="s">
        <v>113</v>
      </c>
      <c r="BO34" s="41" t="str">
        <f>C41</f>
        <v/>
      </c>
      <c r="BP34" s="41">
        <f>P40</f>
        <v>263</v>
      </c>
      <c r="BQ34" s="41">
        <f>P41</f>
        <v>250</v>
      </c>
      <c r="BR34" s="41">
        <f>AC40</f>
        <v>835</v>
      </c>
      <c r="BS34" s="41"/>
      <c r="BT34" s="41">
        <v>5625.0</v>
      </c>
      <c r="BU34" s="41"/>
      <c r="BV34" s="2"/>
      <c r="BW34" s="46" t="s">
        <v>113</v>
      </c>
      <c r="BX34" s="41">
        <f>N39</f>
        <v>4362</v>
      </c>
      <c r="BY34" s="41">
        <f>AA38</f>
        <v>4875</v>
      </c>
      <c r="BZ34" s="41">
        <f>AA39</f>
        <v>4787</v>
      </c>
      <c r="CA34" s="41">
        <f>AN38</f>
        <v>5250</v>
      </c>
      <c r="CB34" s="41"/>
      <c r="CC34" s="41">
        <v>5625.0</v>
      </c>
      <c r="CD34" s="41"/>
      <c r="CE34" s="2"/>
      <c r="CF34" s="2"/>
      <c r="CG34" s="2"/>
      <c r="CH34" s="2"/>
      <c r="CI34" s="2"/>
    </row>
    <row r="35" ht="12.0" customHeight="1">
      <c r="A35" s="6"/>
      <c r="B35" s="36" t="s">
        <v>114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4"/>
      <c r="Q35" s="74"/>
      <c r="R35" s="74"/>
      <c r="S35" s="74"/>
      <c r="T35" s="81"/>
      <c r="U35" s="74"/>
      <c r="V35" s="74"/>
      <c r="W35" s="74">
        <f t="shared" ref="W35:AA35" si="88">W33/W12</f>
        <v>0.0166134959</v>
      </c>
      <c r="X35" s="74">
        <f t="shared" si="88"/>
        <v>0.05158721146</v>
      </c>
      <c r="Y35" s="74">
        <f t="shared" si="88"/>
        <v>0.0679510763</v>
      </c>
      <c r="Z35" s="74">
        <f t="shared" si="88"/>
        <v>0.05561023542</v>
      </c>
      <c r="AA35" s="74">
        <f t="shared" si="88"/>
        <v>0.03847002231</v>
      </c>
      <c r="AB35" s="75"/>
      <c r="AC35" s="74">
        <f t="shared" ref="AC35:AN35" si="89">AC33/AC12</f>
        <v>0.02953452657</v>
      </c>
      <c r="AD35" s="74">
        <f t="shared" si="89"/>
        <v>0.02794005039</v>
      </c>
      <c r="AE35" s="74">
        <f t="shared" si="89"/>
        <v>0.02893575537</v>
      </c>
      <c r="AF35" s="74">
        <f t="shared" si="89"/>
        <v>0.0373690174</v>
      </c>
      <c r="AG35" s="74">
        <f t="shared" si="89"/>
        <v>0.03184089247</v>
      </c>
      <c r="AH35" s="74">
        <f t="shared" si="89"/>
        <v>0.03932364682</v>
      </c>
      <c r="AI35" s="74">
        <f t="shared" si="89"/>
        <v>0.04343309131</v>
      </c>
      <c r="AJ35" s="74">
        <f t="shared" si="89"/>
        <v>0.04437188345</v>
      </c>
      <c r="AK35" s="74">
        <f t="shared" si="89"/>
        <v>0.05148413981</v>
      </c>
      <c r="AL35" s="74">
        <f t="shared" si="89"/>
        <v>0.06082243858</v>
      </c>
      <c r="AM35" s="74">
        <f t="shared" si="89"/>
        <v>0.05410038201</v>
      </c>
      <c r="AN35" s="74">
        <f t="shared" si="89"/>
        <v>0.04249736165</v>
      </c>
      <c r="AO35" s="39"/>
      <c r="AP35" s="74">
        <f t="shared" ref="AP35:BA35" si="90">IFERROR(AP33/AP12,0)</f>
        <v>0.02849140413</v>
      </c>
      <c r="AQ35" s="74">
        <f t="shared" si="90"/>
        <v>0.02589427396</v>
      </c>
      <c r="AR35" s="74">
        <f t="shared" si="90"/>
        <v>0.02330736711</v>
      </c>
      <c r="AS35" s="74">
        <f t="shared" si="90"/>
        <v>0.02470687944</v>
      </c>
      <c r="AT35" s="74">
        <f t="shared" si="90"/>
        <v>0.04081851814</v>
      </c>
      <c r="AU35" s="74">
        <f t="shared" si="90"/>
        <v>0.04860825262</v>
      </c>
      <c r="AV35" s="74">
        <f t="shared" si="90"/>
        <v>0</v>
      </c>
      <c r="AW35" s="74">
        <f t="shared" si="90"/>
        <v>0</v>
      </c>
      <c r="AX35" s="74">
        <f t="shared" si="90"/>
        <v>0</v>
      </c>
      <c r="AY35" s="74">
        <f t="shared" si="90"/>
        <v>0</v>
      </c>
      <c r="AZ35" s="74">
        <f t="shared" si="90"/>
        <v>0</v>
      </c>
      <c r="BA35" s="74">
        <f t="shared" si="90"/>
        <v>0</v>
      </c>
      <c r="BB35" s="39"/>
      <c r="BC35" s="2"/>
      <c r="BD35" s="2"/>
      <c r="BE35" s="46" t="s">
        <v>115</v>
      </c>
      <c r="BF35" s="96">
        <f>O45</f>
        <v>146</v>
      </c>
      <c r="BG35" s="96">
        <f>AB46</f>
        <v>226</v>
      </c>
      <c r="BH35" s="96">
        <f>AB45</f>
        <v>251</v>
      </c>
      <c r="BI35" s="96">
        <f>AO46</f>
        <v>323</v>
      </c>
      <c r="BJ35" s="96">
        <f>AO45</f>
        <v>363</v>
      </c>
      <c r="BK35" s="96">
        <f>BB46</f>
        <v>423</v>
      </c>
      <c r="BL35" s="41"/>
      <c r="BM35" s="2"/>
      <c r="BN35" s="97" t="s">
        <v>116</v>
      </c>
      <c r="BO35" s="41" t="str">
        <f t="shared" ref="BO35:BO36" si="91">C46</f>
        <v/>
      </c>
      <c r="BP35" s="98">
        <v>280.0</v>
      </c>
      <c r="BQ35" s="41">
        <f t="shared" ref="BQ35:BQ36" si="92">P46</f>
        <v>156</v>
      </c>
      <c r="BR35" s="98">
        <v>380.0</v>
      </c>
      <c r="BS35" s="98"/>
      <c r="BT35" s="98">
        <v>445.0</v>
      </c>
      <c r="BU35" s="98"/>
      <c r="BV35" s="2"/>
      <c r="BW35" s="97" t="s">
        <v>116</v>
      </c>
      <c r="BX35" s="41">
        <f t="shared" ref="BX35:BX36" si="93">N44</f>
        <v>184</v>
      </c>
      <c r="BY35" s="98">
        <v>280.0</v>
      </c>
      <c r="BZ35" s="41">
        <f t="shared" ref="BZ35:BZ36" si="94">AA44</f>
        <v>314</v>
      </c>
      <c r="CA35" s="98">
        <v>380.0</v>
      </c>
      <c r="CB35" s="98"/>
      <c r="CC35" s="98">
        <v>445.0</v>
      </c>
      <c r="CD35" s="98"/>
      <c r="CE35" s="2"/>
      <c r="CF35" s="2"/>
      <c r="CG35" s="2"/>
      <c r="CH35" s="2"/>
      <c r="CI35" s="2"/>
    </row>
    <row r="36" ht="12.0" customHeight="1">
      <c r="A36" s="6"/>
      <c r="B36" s="36" t="s">
        <v>117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9"/>
      <c r="P36" s="37"/>
      <c r="Q36" s="37"/>
      <c r="R36" s="37"/>
      <c r="S36" s="37"/>
      <c r="T36" s="38"/>
      <c r="U36" s="37"/>
      <c r="V36" s="37"/>
      <c r="W36" s="37">
        <v>988839.0</v>
      </c>
      <c r="X36" s="37">
        <v>2109469.7</v>
      </c>
      <c r="Y36" s="37">
        <v>2656211.0</v>
      </c>
      <c r="Z36" s="37">
        <v>3407592.0</v>
      </c>
      <c r="AA36" s="37">
        <v>3681264.0</v>
      </c>
      <c r="AB36" s="39"/>
      <c r="AC36" s="37">
        <v>3701353.0</v>
      </c>
      <c r="AD36" s="37">
        <v>3433863.0</v>
      </c>
      <c r="AE36" s="37">
        <v>3290084.0</v>
      </c>
      <c r="AF36" s="37">
        <v>3327374.0</v>
      </c>
      <c r="AG36" s="37">
        <v>3419311.0</v>
      </c>
      <c r="AH36" s="37">
        <v>3156010.0</v>
      </c>
      <c r="AI36" s="37">
        <v>3087076.0</v>
      </c>
      <c r="AJ36" s="37">
        <v>2776998.0</v>
      </c>
      <c r="AK36" s="37">
        <v>2628406.0</v>
      </c>
      <c r="AL36" s="37">
        <v>2592234.0</v>
      </c>
      <c r="AM36" s="37">
        <v>2735768.0</v>
      </c>
      <c r="AN36" s="37">
        <v>2887545.0</v>
      </c>
      <c r="AO36" s="39"/>
      <c r="AP36" s="37">
        <v>2991554.0</v>
      </c>
      <c r="AQ36" s="37">
        <v>2598447.0</v>
      </c>
      <c r="AR36" s="37">
        <v>2867481.0</v>
      </c>
      <c r="AS36" s="37">
        <v>2930942.0</v>
      </c>
      <c r="AT36" s="37">
        <v>3033028.0</v>
      </c>
      <c r="AU36" s="37">
        <v>2678239.0</v>
      </c>
      <c r="AV36" s="37"/>
      <c r="AW36" s="37"/>
      <c r="AX36" s="37"/>
      <c r="AY36" s="37"/>
      <c r="AZ36" s="37"/>
      <c r="BA36" s="38"/>
      <c r="BB36" s="39"/>
      <c r="BC36" s="2"/>
      <c r="BD36" s="2"/>
      <c r="BE36" s="5"/>
      <c r="BF36" s="5"/>
      <c r="BG36" s="5"/>
      <c r="BH36" s="5"/>
      <c r="BI36" s="5"/>
      <c r="BJ36" s="5"/>
      <c r="BK36" s="5"/>
      <c r="BL36" s="5"/>
      <c r="BM36" s="2"/>
      <c r="BN36" s="46" t="s">
        <v>115</v>
      </c>
      <c r="BO36" s="96">
        <f t="shared" si="91"/>
        <v>1</v>
      </c>
      <c r="BP36" s="96">
        <f>P48</f>
        <v>0.776119403</v>
      </c>
      <c r="BQ36" s="96">
        <f t="shared" si="92"/>
        <v>0.8606965174</v>
      </c>
      <c r="BR36" s="96">
        <f>AC48</f>
        <v>0.7134146341</v>
      </c>
      <c r="BS36" s="96"/>
      <c r="BT36" s="96">
        <v>423.0</v>
      </c>
      <c r="BU36" s="41"/>
      <c r="BV36" s="2"/>
      <c r="BW36" s="46" t="s">
        <v>115</v>
      </c>
      <c r="BX36" s="96">
        <f t="shared" si="93"/>
        <v>146</v>
      </c>
      <c r="BY36" s="96">
        <f>AA46</f>
        <v>226</v>
      </c>
      <c r="BZ36" s="96">
        <f t="shared" si="94"/>
        <v>251</v>
      </c>
      <c r="CA36" s="96">
        <f>AN46</f>
        <v>323</v>
      </c>
      <c r="CB36" s="96"/>
      <c r="CC36" s="96">
        <v>423.0</v>
      </c>
      <c r="CD36" s="41"/>
      <c r="CE36" s="99"/>
      <c r="CF36" s="99"/>
      <c r="CG36" s="2"/>
      <c r="CH36" s="2"/>
      <c r="CI36" s="2"/>
    </row>
    <row r="37" ht="12.0" customHeight="1">
      <c r="A37" s="6"/>
      <c r="B37" s="36" t="s">
        <v>118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5"/>
      <c r="P37" s="74"/>
      <c r="Q37" s="74"/>
      <c r="R37" s="74"/>
      <c r="S37" s="74"/>
      <c r="T37" s="81"/>
      <c r="U37" s="74"/>
      <c r="V37" s="74"/>
      <c r="W37" s="74">
        <f t="shared" ref="W37:AA37" si="95">W36/W12</f>
        <v>0.3142384642</v>
      </c>
      <c r="X37" s="74">
        <f t="shared" si="95"/>
        <v>0.6422555413</v>
      </c>
      <c r="Y37" s="74">
        <f t="shared" si="95"/>
        <v>0.7417841228</v>
      </c>
      <c r="Z37" s="74">
        <f t="shared" si="95"/>
        <v>0.9224092707</v>
      </c>
      <c r="AA37" s="74">
        <f t="shared" si="95"/>
        <v>0.9337782815</v>
      </c>
      <c r="AB37" s="75"/>
      <c r="AC37" s="74">
        <f t="shared" ref="AC37:AN37" si="96">AC36/AC12</f>
        <v>0.9491361787</v>
      </c>
      <c r="AD37" s="74">
        <f t="shared" si="96"/>
        <v>0.963866477</v>
      </c>
      <c r="AE37" s="74">
        <f t="shared" si="96"/>
        <v>0.9004593594</v>
      </c>
      <c r="AF37" s="74">
        <f t="shared" si="96"/>
        <v>0.9544552013</v>
      </c>
      <c r="AG37" s="74">
        <f t="shared" si="96"/>
        <v>0.949694384</v>
      </c>
      <c r="AH37" s="74">
        <f t="shared" si="96"/>
        <v>0.9295968137</v>
      </c>
      <c r="AI37" s="74">
        <f t="shared" si="96"/>
        <v>0.9416215135</v>
      </c>
      <c r="AJ37" s="74">
        <f t="shared" si="96"/>
        <v>0.8981357444</v>
      </c>
      <c r="AK37" s="74">
        <f t="shared" si="96"/>
        <v>0.8756671433</v>
      </c>
      <c r="AL37" s="74">
        <f t="shared" si="96"/>
        <v>0.8342998902</v>
      </c>
      <c r="AM37" s="74">
        <f t="shared" si="96"/>
        <v>0.8947670007</v>
      </c>
      <c r="AN37" s="74">
        <f t="shared" si="96"/>
        <v>0.9206470414</v>
      </c>
      <c r="AO37" s="39"/>
      <c r="AP37" s="74">
        <f t="shared" ref="AP37:BA37" si="97">IFERROR(AP36/AP12,0)</f>
        <v>0.9597835032</v>
      </c>
      <c r="AQ37" s="74">
        <f t="shared" si="97"/>
        <v>0.9577921492</v>
      </c>
      <c r="AR37" s="74">
        <f t="shared" si="97"/>
        <v>0.9542998022</v>
      </c>
      <c r="AS37" s="74">
        <f t="shared" si="97"/>
        <v>0.9470271451</v>
      </c>
      <c r="AT37" s="74">
        <f t="shared" si="97"/>
        <v>0.9386535382</v>
      </c>
      <c r="AU37" s="74">
        <f t="shared" si="97"/>
        <v>0.9374357714</v>
      </c>
      <c r="AV37" s="74">
        <f t="shared" si="97"/>
        <v>0</v>
      </c>
      <c r="AW37" s="74">
        <f t="shared" si="97"/>
        <v>0</v>
      </c>
      <c r="AX37" s="74">
        <f t="shared" si="97"/>
        <v>0</v>
      </c>
      <c r="AY37" s="74">
        <f t="shared" si="97"/>
        <v>0</v>
      </c>
      <c r="AZ37" s="74">
        <f t="shared" si="97"/>
        <v>0</v>
      </c>
      <c r="BA37" s="74">
        <f t="shared" si="97"/>
        <v>0</v>
      </c>
      <c r="BB37" s="39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51" t="s">
        <v>119</v>
      </c>
      <c r="BO37" s="53" t="str">
        <f t="shared" ref="BO37:BR37" si="98">BO36/BO35</f>
        <v>#DIV/0!</v>
      </c>
      <c r="BP37" s="53">
        <f t="shared" si="98"/>
        <v>0.002771855011</v>
      </c>
      <c r="BQ37" s="53">
        <f t="shared" si="98"/>
        <v>0.005517285368</v>
      </c>
      <c r="BR37" s="53">
        <f t="shared" si="98"/>
        <v>0.001877406932</v>
      </c>
      <c r="BS37" s="53"/>
      <c r="BT37" s="53">
        <f>BT36/BT35</f>
        <v>0.9505617978</v>
      </c>
      <c r="BU37" s="53"/>
      <c r="BV37" s="2"/>
      <c r="BW37" s="51" t="s">
        <v>119</v>
      </c>
      <c r="BX37" s="53">
        <f t="shared" ref="BX37:CA37" si="99">BX36/BX35</f>
        <v>0.7934782609</v>
      </c>
      <c r="BY37" s="53">
        <f t="shared" si="99"/>
        <v>0.8071428571</v>
      </c>
      <c r="BZ37" s="53">
        <f t="shared" si="99"/>
        <v>0.7993630573</v>
      </c>
      <c r="CA37" s="53">
        <f t="shared" si="99"/>
        <v>0.85</v>
      </c>
      <c r="CB37" s="53"/>
      <c r="CC37" s="53">
        <f>CC36/CC35</f>
        <v>0.9505617978</v>
      </c>
      <c r="CD37" s="53"/>
      <c r="CE37" s="100"/>
      <c r="CF37" s="99"/>
      <c r="CG37" s="2"/>
      <c r="CH37" s="2"/>
      <c r="CI37" s="2"/>
    </row>
    <row r="38" ht="12.0" customHeight="1">
      <c r="A38" s="101" t="s">
        <v>120</v>
      </c>
      <c r="B38" s="102" t="s">
        <v>121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>
        <v>4372.0</v>
      </c>
      <c r="Q38" s="103">
        <v>4402.0</v>
      </c>
      <c r="R38" s="103">
        <v>4432.0</v>
      </c>
      <c r="S38" s="103">
        <v>4462.0</v>
      </c>
      <c r="T38" s="103">
        <v>4492.0</v>
      </c>
      <c r="U38" s="103">
        <v>4522.0</v>
      </c>
      <c r="V38" s="103">
        <v>4562.0</v>
      </c>
      <c r="W38" s="103">
        <v>4602.0</v>
      </c>
      <c r="X38" s="103">
        <v>4672.0</v>
      </c>
      <c r="Y38" s="103">
        <v>4742.0</v>
      </c>
      <c r="Z38" s="103">
        <v>4812.0</v>
      </c>
      <c r="AA38" s="103">
        <v>4875.0</v>
      </c>
      <c r="AB38" s="103">
        <f t="shared" ref="AB38:AB41" si="101">AA38</f>
        <v>4875</v>
      </c>
      <c r="AC38" s="103">
        <v>4906.0</v>
      </c>
      <c r="AD38" s="103">
        <v>4937.0</v>
      </c>
      <c r="AE38" s="103">
        <v>4968.0</v>
      </c>
      <c r="AF38" s="103">
        <v>4999.0</v>
      </c>
      <c r="AG38" s="103">
        <v>5030.0</v>
      </c>
      <c r="AH38" s="103">
        <v>5061.0</v>
      </c>
      <c r="AI38" s="103">
        <v>5092.0</v>
      </c>
      <c r="AJ38" s="103">
        <v>5123.0</v>
      </c>
      <c r="AK38" s="103">
        <v>5154.0</v>
      </c>
      <c r="AL38" s="103">
        <v>5185.0</v>
      </c>
      <c r="AM38" s="103">
        <v>5216.0</v>
      </c>
      <c r="AN38" s="103">
        <v>5250.0</v>
      </c>
      <c r="AO38" s="103">
        <f t="shared" ref="AO38:AO41" si="102">AN38</f>
        <v>5250</v>
      </c>
      <c r="AP38" s="103">
        <f t="shared" ref="AP38:BA38" si="100">AO38+80</f>
        <v>5330</v>
      </c>
      <c r="AQ38" s="103">
        <f t="shared" si="100"/>
        <v>5410</v>
      </c>
      <c r="AR38" s="103">
        <f t="shared" si="100"/>
        <v>5490</v>
      </c>
      <c r="AS38" s="103">
        <f t="shared" si="100"/>
        <v>5570</v>
      </c>
      <c r="AT38" s="103">
        <f t="shared" si="100"/>
        <v>5650</v>
      </c>
      <c r="AU38" s="103">
        <f t="shared" si="100"/>
        <v>5730</v>
      </c>
      <c r="AV38" s="103">
        <f t="shared" si="100"/>
        <v>5810</v>
      </c>
      <c r="AW38" s="103">
        <f t="shared" si="100"/>
        <v>5890</v>
      </c>
      <c r="AX38" s="103">
        <f t="shared" si="100"/>
        <v>5970</v>
      </c>
      <c r="AY38" s="103">
        <f t="shared" si="100"/>
        <v>6050</v>
      </c>
      <c r="AZ38" s="103">
        <f t="shared" si="100"/>
        <v>6130</v>
      </c>
      <c r="BA38" s="103">
        <f t="shared" si="100"/>
        <v>6210</v>
      </c>
      <c r="BB38" s="103">
        <f>BA38</f>
        <v>6210</v>
      </c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104"/>
      <c r="BY38" s="105"/>
      <c r="BZ38" s="106"/>
      <c r="CA38" s="105"/>
      <c r="CB38" s="105"/>
      <c r="CC38" s="105"/>
      <c r="CD38" s="105"/>
      <c r="CE38" s="105"/>
      <c r="CF38" s="105"/>
      <c r="CG38" s="107"/>
      <c r="CH38" s="107"/>
      <c r="CI38" s="107"/>
    </row>
    <row r="39" ht="12.0" customHeight="1">
      <c r="A39" s="108"/>
      <c r="B39" s="109" t="s">
        <v>122</v>
      </c>
      <c r="C39" s="110">
        <v>4000.0</v>
      </c>
      <c r="D39" s="110">
        <v>4020.0</v>
      </c>
      <c r="E39" s="110">
        <v>4045.0</v>
      </c>
      <c r="F39" s="110">
        <v>4070.0</v>
      </c>
      <c r="G39" s="110">
        <v>4095.0</v>
      </c>
      <c r="H39" s="110">
        <v>4120.0</v>
      </c>
      <c r="I39" s="110">
        <v>4145.0</v>
      </c>
      <c r="J39" s="110">
        <v>4170.0</v>
      </c>
      <c r="K39" s="110">
        <v>4210.0</v>
      </c>
      <c r="L39" s="110">
        <v>4260.0</v>
      </c>
      <c r="M39" s="110">
        <v>4310.0</v>
      </c>
      <c r="N39" s="110">
        <v>4362.0</v>
      </c>
      <c r="O39" s="110">
        <f t="shared" ref="O39:O40" si="103">N39</f>
        <v>4362</v>
      </c>
      <c r="P39" s="110">
        <v>4387.0</v>
      </c>
      <c r="Q39" s="110">
        <v>4412.0</v>
      </c>
      <c r="R39" s="110">
        <v>4437.0</v>
      </c>
      <c r="S39" s="110">
        <v>4462.0</v>
      </c>
      <c r="T39" s="110">
        <v>4502.0</v>
      </c>
      <c r="U39" s="110">
        <v>4542.0</v>
      </c>
      <c r="V39" s="110">
        <v>4582.0</v>
      </c>
      <c r="W39" s="110">
        <v>4622.0</v>
      </c>
      <c r="X39" s="110">
        <v>4662.0</v>
      </c>
      <c r="Y39" s="110">
        <v>4702.0</v>
      </c>
      <c r="Z39" s="110">
        <v>4742.0</v>
      </c>
      <c r="AA39" s="110">
        <v>4787.0</v>
      </c>
      <c r="AB39" s="110">
        <f t="shared" si="101"/>
        <v>4787</v>
      </c>
      <c r="AC39" s="110">
        <v>4803.0</v>
      </c>
      <c r="AD39" s="110">
        <v>4803.0</v>
      </c>
      <c r="AE39" s="110">
        <v>4803.0</v>
      </c>
      <c r="AF39" s="110">
        <v>4803.0</v>
      </c>
      <c r="AG39" s="110">
        <v>4508.0</v>
      </c>
      <c r="AH39" s="110">
        <v>4485.0</v>
      </c>
      <c r="AI39" s="110">
        <v>4440.0</v>
      </c>
      <c r="AJ39" s="110">
        <v>4364.0</v>
      </c>
      <c r="AK39" s="110">
        <v>4285.0</v>
      </c>
      <c r="AL39" s="110">
        <f>4256+435</f>
        <v>4691</v>
      </c>
      <c r="AM39" s="110">
        <v>4179.0</v>
      </c>
      <c r="AN39" s="110">
        <v>4181.0</v>
      </c>
      <c r="AO39" s="111">
        <f t="shared" si="102"/>
        <v>4181</v>
      </c>
      <c r="AP39" s="110">
        <v>4122.0</v>
      </c>
      <c r="AQ39" s="110">
        <v>4071.0</v>
      </c>
      <c r="AR39" s="110">
        <v>4069.0</v>
      </c>
      <c r="AS39" s="110">
        <v>4101.0</v>
      </c>
      <c r="AT39" s="111">
        <v>4082.0</v>
      </c>
      <c r="AU39" s="111">
        <v>4042.0</v>
      </c>
      <c r="AV39" s="111"/>
      <c r="AW39" s="111"/>
      <c r="AX39" s="111"/>
      <c r="AY39" s="111"/>
      <c r="AZ39" s="111"/>
      <c r="BA39" s="112"/>
      <c r="BB39" s="111">
        <f t="shared" ref="BB39:BB40" si="107">AU39</f>
        <v>4042</v>
      </c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104"/>
      <c r="BY39" s="105"/>
      <c r="BZ39" s="105"/>
      <c r="CA39" s="105"/>
      <c r="CB39" s="105"/>
      <c r="CC39" s="105"/>
      <c r="CD39" s="105"/>
      <c r="CE39" s="105"/>
      <c r="CF39" s="105"/>
      <c r="CG39" s="107"/>
      <c r="CH39" s="107"/>
      <c r="CI39" s="107"/>
    </row>
    <row r="40" ht="12.0" customHeight="1">
      <c r="A40" s="108"/>
      <c r="B40" s="113" t="s">
        <v>123</v>
      </c>
      <c r="C40" s="114">
        <v>150.0</v>
      </c>
      <c r="D40" s="114">
        <v>158.0</v>
      </c>
      <c r="E40" s="114">
        <v>166.0</v>
      </c>
      <c r="F40" s="114">
        <v>174.0</v>
      </c>
      <c r="G40" s="114">
        <v>182.0</v>
      </c>
      <c r="H40" s="114">
        <v>190.0</v>
      </c>
      <c r="I40" s="114">
        <v>198.0</v>
      </c>
      <c r="J40" s="114">
        <v>206.0</v>
      </c>
      <c r="K40" s="114">
        <v>214.0</v>
      </c>
      <c r="L40" s="114">
        <v>222.0</v>
      </c>
      <c r="M40" s="114">
        <v>230.0</v>
      </c>
      <c r="N40" s="114">
        <v>243.0</v>
      </c>
      <c r="O40" s="115">
        <f t="shared" si="103"/>
        <v>243</v>
      </c>
      <c r="P40" s="114">
        <f>N40+20</f>
        <v>263</v>
      </c>
      <c r="Q40" s="114">
        <f t="shared" ref="Q40:V40" si="104">P40+20</f>
        <v>283</v>
      </c>
      <c r="R40" s="114">
        <f t="shared" si="104"/>
        <v>303</v>
      </c>
      <c r="S40" s="114">
        <f t="shared" si="104"/>
        <v>323</v>
      </c>
      <c r="T40" s="114">
        <f t="shared" si="104"/>
        <v>343</v>
      </c>
      <c r="U40" s="114">
        <f t="shared" si="104"/>
        <v>363</v>
      </c>
      <c r="V40" s="114">
        <f t="shared" si="104"/>
        <v>383</v>
      </c>
      <c r="W40" s="114">
        <f>V40+40</f>
        <v>423</v>
      </c>
      <c r="X40" s="114">
        <f>W40+70</f>
        <v>493</v>
      </c>
      <c r="Y40" s="114">
        <f t="shared" ref="Y40:Z40" si="105">X40+100</f>
        <v>593</v>
      </c>
      <c r="Z40" s="114">
        <f t="shared" si="105"/>
        <v>693</v>
      </c>
      <c r="AA40" s="114">
        <v>819.0</v>
      </c>
      <c r="AB40" s="115">
        <f t="shared" si="101"/>
        <v>819</v>
      </c>
      <c r="AC40" s="114">
        <f>AA40+16</f>
        <v>835</v>
      </c>
      <c r="AD40" s="114">
        <f t="shared" ref="AD40:AF40" si="106">AC40</f>
        <v>835</v>
      </c>
      <c r="AE40" s="114">
        <f t="shared" si="106"/>
        <v>835</v>
      </c>
      <c r="AF40" s="114">
        <f t="shared" si="106"/>
        <v>835</v>
      </c>
      <c r="AG40" s="114">
        <v>735.0</v>
      </c>
      <c r="AH40" s="114">
        <v>742.0</v>
      </c>
      <c r="AI40" s="114">
        <v>763.0</v>
      </c>
      <c r="AJ40" s="114">
        <v>652.0</v>
      </c>
      <c r="AK40" s="114">
        <v>613.0</v>
      </c>
      <c r="AL40" s="114">
        <f>615+59</f>
        <v>674</v>
      </c>
      <c r="AM40" s="114">
        <v>1082.0</v>
      </c>
      <c r="AN40" s="114">
        <v>1545.0</v>
      </c>
      <c r="AO40" s="116">
        <f t="shared" si="102"/>
        <v>1545</v>
      </c>
      <c r="AP40" s="114">
        <v>1636.0</v>
      </c>
      <c r="AQ40" s="114">
        <v>1710.0</v>
      </c>
      <c r="AR40" s="114">
        <v>1789.0</v>
      </c>
      <c r="AS40" s="114">
        <v>1821.0</v>
      </c>
      <c r="AT40" s="117">
        <v>1848.0</v>
      </c>
      <c r="AU40" s="117">
        <v>1886.0</v>
      </c>
      <c r="AV40" s="117"/>
      <c r="AW40" s="117"/>
      <c r="AX40" s="117"/>
      <c r="AY40" s="117"/>
      <c r="AZ40" s="117"/>
      <c r="BA40" s="118"/>
      <c r="BB40" s="116">
        <f t="shared" si="107"/>
        <v>1886</v>
      </c>
      <c r="BC40" s="16">
        <f>BB40-243</f>
        <v>1643</v>
      </c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104"/>
      <c r="BY40" s="105"/>
      <c r="BZ40" s="105"/>
      <c r="CA40" s="105"/>
      <c r="CB40" s="105"/>
      <c r="CC40" s="105"/>
      <c r="CD40" s="105"/>
      <c r="CE40" s="105"/>
      <c r="CF40" s="105"/>
      <c r="CG40" s="107"/>
      <c r="CH40" s="107"/>
      <c r="CI40" s="107"/>
    </row>
    <row r="41" ht="12.0" customHeight="1">
      <c r="A41" s="108"/>
      <c r="B41" s="102" t="s">
        <v>124</v>
      </c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>
        <v>250.0</v>
      </c>
      <c r="Q41" s="103">
        <v>290.0</v>
      </c>
      <c r="R41" s="103">
        <v>330.0</v>
      </c>
      <c r="S41" s="103">
        <v>370.0</v>
      </c>
      <c r="T41" s="103">
        <v>410.0</v>
      </c>
      <c r="U41" s="103">
        <v>450.0</v>
      </c>
      <c r="V41" s="103">
        <v>490.0</v>
      </c>
      <c r="W41" s="103">
        <v>530.0</v>
      </c>
      <c r="X41" s="103">
        <v>580.0</v>
      </c>
      <c r="Y41" s="103">
        <v>630.0</v>
      </c>
      <c r="Z41" s="103">
        <v>680.0</v>
      </c>
      <c r="AA41" s="103">
        <v>731.0</v>
      </c>
      <c r="AB41" s="103">
        <f t="shared" si="101"/>
        <v>731</v>
      </c>
      <c r="AC41" s="119">
        <v>781.0</v>
      </c>
      <c r="AD41" s="119">
        <v>831.0</v>
      </c>
      <c r="AE41" s="119">
        <v>881.0</v>
      </c>
      <c r="AF41" s="119">
        <v>931.0</v>
      </c>
      <c r="AG41" s="119">
        <v>981.0</v>
      </c>
      <c r="AH41" s="119">
        <v>1031.0</v>
      </c>
      <c r="AI41" s="119">
        <v>1081.0</v>
      </c>
      <c r="AJ41" s="119">
        <v>1131.0</v>
      </c>
      <c r="AK41" s="119">
        <v>1181.0</v>
      </c>
      <c r="AL41" s="119">
        <v>1231.0</v>
      </c>
      <c r="AM41" s="119">
        <v>1281.0</v>
      </c>
      <c r="AN41" s="119">
        <v>1313.0</v>
      </c>
      <c r="AO41" s="119">
        <f t="shared" si="102"/>
        <v>1313</v>
      </c>
      <c r="AP41" s="119">
        <f t="shared" ref="AP41:BA41" si="108">AO41+100</f>
        <v>1413</v>
      </c>
      <c r="AQ41" s="119">
        <f t="shared" si="108"/>
        <v>1513</v>
      </c>
      <c r="AR41" s="119">
        <f t="shared" si="108"/>
        <v>1613</v>
      </c>
      <c r="AS41" s="119">
        <f t="shared" si="108"/>
        <v>1713</v>
      </c>
      <c r="AT41" s="119">
        <f t="shared" si="108"/>
        <v>1813</v>
      </c>
      <c r="AU41" s="119">
        <f t="shared" si="108"/>
        <v>1913</v>
      </c>
      <c r="AV41" s="119">
        <f t="shared" si="108"/>
        <v>2013</v>
      </c>
      <c r="AW41" s="119">
        <f t="shared" si="108"/>
        <v>2113</v>
      </c>
      <c r="AX41" s="119">
        <f t="shared" si="108"/>
        <v>2213</v>
      </c>
      <c r="AY41" s="119">
        <f t="shared" si="108"/>
        <v>2313</v>
      </c>
      <c r="AZ41" s="119">
        <f t="shared" si="108"/>
        <v>2413</v>
      </c>
      <c r="BA41" s="119">
        <f t="shared" si="108"/>
        <v>2513</v>
      </c>
      <c r="BB41" s="103">
        <f>BA41</f>
        <v>2513</v>
      </c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104"/>
      <c r="BY41" s="105"/>
      <c r="BZ41" s="105"/>
      <c r="CA41" s="105"/>
      <c r="CB41" s="105"/>
      <c r="CC41" s="105"/>
      <c r="CD41" s="105"/>
      <c r="CE41" s="105"/>
      <c r="CF41" s="105"/>
      <c r="CG41" s="107"/>
      <c r="CH41" s="107"/>
      <c r="CI41" s="107"/>
    </row>
    <row r="42" ht="12.0" customHeight="1">
      <c r="A42" s="108"/>
      <c r="B42" s="120" t="s">
        <v>125</v>
      </c>
      <c r="C42" s="121">
        <f t="shared" ref="C42:AO42" si="109">C40/C39</f>
        <v>0.0375</v>
      </c>
      <c r="D42" s="121">
        <f t="shared" si="109"/>
        <v>0.03930348259</v>
      </c>
      <c r="E42" s="121">
        <f t="shared" si="109"/>
        <v>0.04103831891</v>
      </c>
      <c r="F42" s="121">
        <f t="shared" si="109"/>
        <v>0.04275184275</v>
      </c>
      <c r="G42" s="121">
        <f t="shared" si="109"/>
        <v>0.04444444444</v>
      </c>
      <c r="H42" s="121">
        <f t="shared" si="109"/>
        <v>0.04611650485</v>
      </c>
      <c r="I42" s="121">
        <f t="shared" si="109"/>
        <v>0.04776839566</v>
      </c>
      <c r="J42" s="121">
        <f t="shared" si="109"/>
        <v>0.04940047962</v>
      </c>
      <c r="K42" s="121">
        <f t="shared" si="109"/>
        <v>0.05083135392</v>
      </c>
      <c r="L42" s="121">
        <f t="shared" si="109"/>
        <v>0.05211267606</v>
      </c>
      <c r="M42" s="121">
        <f t="shared" si="109"/>
        <v>0.05336426914</v>
      </c>
      <c r="N42" s="121">
        <f t="shared" si="109"/>
        <v>0.05570839065</v>
      </c>
      <c r="O42" s="121">
        <f t="shared" si="109"/>
        <v>0.05570839065</v>
      </c>
      <c r="P42" s="121">
        <f t="shared" si="109"/>
        <v>0.05994985183</v>
      </c>
      <c r="Q42" s="121">
        <f t="shared" si="109"/>
        <v>0.06414324569</v>
      </c>
      <c r="R42" s="121">
        <f t="shared" si="109"/>
        <v>0.06828938472</v>
      </c>
      <c r="S42" s="121">
        <f t="shared" si="109"/>
        <v>0.0723890632</v>
      </c>
      <c r="T42" s="121">
        <f t="shared" si="109"/>
        <v>0.07618836073</v>
      </c>
      <c r="U42" s="121">
        <f t="shared" si="109"/>
        <v>0.07992073976</v>
      </c>
      <c r="V42" s="121">
        <f t="shared" si="109"/>
        <v>0.08358795286</v>
      </c>
      <c r="W42" s="121">
        <f t="shared" si="109"/>
        <v>0.09151882302</v>
      </c>
      <c r="X42" s="121">
        <f t="shared" si="109"/>
        <v>0.1057486057</v>
      </c>
      <c r="Y42" s="121">
        <f t="shared" si="109"/>
        <v>0.1261165462</v>
      </c>
      <c r="Z42" s="121">
        <f t="shared" si="109"/>
        <v>0.1461408688</v>
      </c>
      <c r="AA42" s="121">
        <f t="shared" si="109"/>
        <v>0.1710883643</v>
      </c>
      <c r="AB42" s="121">
        <f t="shared" si="109"/>
        <v>0.1710883643</v>
      </c>
      <c r="AC42" s="121">
        <f t="shared" si="109"/>
        <v>0.1738496773</v>
      </c>
      <c r="AD42" s="121">
        <f t="shared" si="109"/>
        <v>0.1738496773</v>
      </c>
      <c r="AE42" s="121">
        <f t="shared" si="109"/>
        <v>0.1738496773</v>
      </c>
      <c r="AF42" s="121">
        <f t="shared" si="109"/>
        <v>0.1738496773</v>
      </c>
      <c r="AG42" s="121">
        <f t="shared" si="109"/>
        <v>0.1630434783</v>
      </c>
      <c r="AH42" s="121">
        <f t="shared" si="109"/>
        <v>0.1654403567</v>
      </c>
      <c r="AI42" s="121">
        <f t="shared" si="109"/>
        <v>0.1718468468</v>
      </c>
      <c r="AJ42" s="121">
        <f t="shared" si="109"/>
        <v>0.1494042163</v>
      </c>
      <c r="AK42" s="121">
        <f t="shared" si="109"/>
        <v>0.1430571762</v>
      </c>
      <c r="AL42" s="121">
        <f t="shared" si="109"/>
        <v>0.1436793861</v>
      </c>
      <c r="AM42" s="121">
        <f t="shared" si="109"/>
        <v>0.2589136157</v>
      </c>
      <c r="AN42" s="121">
        <f t="shared" si="109"/>
        <v>0.3695288209</v>
      </c>
      <c r="AO42" s="121">
        <f t="shared" si="109"/>
        <v>0.3695288209</v>
      </c>
      <c r="AP42" s="121">
        <f t="shared" ref="AP42:BB42" si="110">IFERROR(AP40/AP39,0)</f>
        <v>0.3968947113</v>
      </c>
      <c r="AQ42" s="121">
        <f t="shared" si="110"/>
        <v>0.4200442152</v>
      </c>
      <c r="AR42" s="121">
        <f t="shared" si="110"/>
        <v>0.4396657655</v>
      </c>
      <c r="AS42" s="121">
        <f t="shared" si="110"/>
        <v>0.4440380395</v>
      </c>
      <c r="AT42" s="121">
        <f t="shared" si="110"/>
        <v>0.4527192553</v>
      </c>
      <c r="AU42" s="121">
        <f t="shared" si="110"/>
        <v>0.4666006927</v>
      </c>
      <c r="AV42" s="121">
        <f t="shared" si="110"/>
        <v>0</v>
      </c>
      <c r="AW42" s="121">
        <f t="shared" si="110"/>
        <v>0</v>
      </c>
      <c r="AX42" s="121">
        <f t="shared" si="110"/>
        <v>0</v>
      </c>
      <c r="AY42" s="121">
        <f t="shared" si="110"/>
        <v>0</v>
      </c>
      <c r="AZ42" s="121">
        <f t="shared" si="110"/>
        <v>0</v>
      </c>
      <c r="BA42" s="121">
        <f t="shared" si="110"/>
        <v>0</v>
      </c>
      <c r="BB42" s="121">
        <f t="shared" si="110"/>
        <v>0.4666006927</v>
      </c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122"/>
      <c r="BY42" s="106"/>
      <c r="BZ42" s="106"/>
      <c r="CA42" s="106"/>
      <c r="CB42" s="105"/>
      <c r="CC42" s="106"/>
      <c r="CD42" s="106"/>
      <c r="CE42" s="105"/>
      <c r="CF42" s="105"/>
      <c r="CG42" s="107"/>
      <c r="CH42" s="107"/>
      <c r="CI42" s="107"/>
    </row>
    <row r="43" ht="12.0" customHeight="1">
      <c r="A43" s="123"/>
      <c r="B43" s="124" t="s">
        <v>126</v>
      </c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6">
        <f t="shared" ref="P43:AA43" si="111">P41/P38</f>
        <v>0.0571820677</v>
      </c>
      <c r="Q43" s="126">
        <f t="shared" si="111"/>
        <v>0.06587914584</v>
      </c>
      <c r="R43" s="126">
        <f t="shared" si="111"/>
        <v>0.07445848375</v>
      </c>
      <c r="S43" s="126">
        <f t="shared" si="111"/>
        <v>0.0829224563</v>
      </c>
      <c r="T43" s="126">
        <f t="shared" si="111"/>
        <v>0.09127337489</v>
      </c>
      <c r="U43" s="126">
        <f t="shared" si="111"/>
        <v>0.09951348961</v>
      </c>
      <c r="V43" s="126">
        <f t="shared" si="111"/>
        <v>0.1074090311</v>
      </c>
      <c r="W43" s="126">
        <f t="shared" si="111"/>
        <v>0.1151673186</v>
      </c>
      <c r="X43" s="126">
        <f t="shared" si="111"/>
        <v>0.1241438356</v>
      </c>
      <c r="Y43" s="126">
        <f t="shared" si="111"/>
        <v>0.1328553353</v>
      </c>
      <c r="Z43" s="126">
        <f t="shared" si="111"/>
        <v>0.1413133832</v>
      </c>
      <c r="AA43" s="126">
        <f t="shared" si="111"/>
        <v>0.1499487179</v>
      </c>
      <c r="AB43" s="126">
        <f>AA43</f>
        <v>0.1499487179</v>
      </c>
      <c r="AC43" s="126">
        <f t="shared" ref="AC43:AN43" si="112">AC41/AC38</f>
        <v>0.1591928251</v>
      </c>
      <c r="AD43" s="126">
        <f t="shared" si="112"/>
        <v>0.1683208426</v>
      </c>
      <c r="AE43" s="126">
        <f t="shared" si="112"/>
        <v>0.1773349436</v>
      </c>
      <c r="AF43" s="126">
        <f t="shared" si="112"/>
        <v>0.1862372474</v>
      </c>
      <c r="AG43" s="126">
        <f t="shared" si="112"/>
        <v>0.1950298211</v>
      </c>
      <c r="AH43" s="126">
        <f t="shared" si="112"/>
        <v>0.2037146809</v>
      </c>
      <c r="AI43" s="126">
        <f t="shared" si="112"/>
        <v>0.2122937942</v>
      </c>
      <c r="AJ43" s="126">
        <f t="shared" si="112"/>
        <v>0.2207690806</v>
      </c>
      <c r="AK43" s="126">
        <f t="shared" si="112"/>
        <v>0.2291424137</v>
      </c>
      <c r="AL43" s="126">
        <f t="shared" si="112"/>
        <v>0.237415622</v>
      </c>
      <c r="AM43" s="126">
        <f t="shared" si="112"/>
        <v>0.2455904908</v>
      </c>
      <c r="AN43" s="126">
        <f t="shared" si="112"/>
        <v>0.2500952381</v>
      </c>
      <c r="AO43" s="126">
        <f>AN43</f>
        <v>0.2500952381</v>
      </c>
      <c r="AP43" s="126">
        <f t="shared" ref="AP43:BA43" si="113">AP41/AP38</f>
        <v>0.2651031895</v>
      </c>
      <c r="AQ43" s="126">
        <f t="shared" si="113"/>
        <v>0.2796672828</v>
      </c>
      <c r="AR43" s="126">
        <f t="shared" si="113"/>
        <v>0.2938069217</v>
      </c>
      <c r="AS43" s="126">
        <f t="shared" si="113"/>
        <v>0.307540395</v>
      </c>
      <c r="AT43" s="126">
        <f t="shared" si="113"/>
        <v>0.3208849558</v>
      </c>
      <c r="AU43" s="126">
        <f t="shared" si="113"/>
        <v>0.3338568935</v>
      </c>
      <c r="AV43" s="126">
        <f t="shared" si="113"/>
        <v>0.3464716007</v>
      </c>
      <c r="AW43" s="126">
        <f t="shared" si="113"/>
        <v>0.3587436333</v>
      </c>
      <c r="AX43" s="126">
        <f t="shared" si="113"/>
        <v>0.3706867672</v>
      </c>
      <c r="AY43" s="126">
        <f t="shared" si="113"/>
        <v>0.3823140496</v>
      </c>
      <c r="AZ43" s="126">
        <f t="shared" si="113"/>
        <v>0.3936378467</v>
      </c>
      <c r="BA43" s="126">
        <f t="shared" si="113"/>
        <v>0.4046698873</v>
      </c>
      <c r="BB43" s="126">
        <v>0.4</v>
      </c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104"/>
      <c r="BY43" s="105"/>
      <c r="BZ43" s="105"/>
      <c r="CA43" s="105"/>
      <c r="CB43" s="105"/>
      <c r="CC43" s="105"/>
      <c r="CD43" s="105"/>
      <c r="CE43" s="105"/>
      <c r="CF43" s="105"/>
      <c r="CG43" s="107"/>
      <c r="CH43" s="107"/>
      <c r="CI43" s="107"/>
    </row>
    <row r="44" ht="12.0" customHeight="1">
      <c r="A44" s="127" t="s">
        <v>127</v>
      </c>
      <c r="B44" s="113" t="s">
        <v>128</v>
      </c>
      <c r="C44" s="128">
        <v>55.0</v>
      </c>
      <c r="D44" s="128">
        <v>94.0</v>
      </c>
      <c r="E44" s="128">
        <v>102.0</v>
      </c>
      <c r="F44" s="128">
        <v>110.0</v>
      </c>
      <c r="G44" s="128">
        <f>F44+9</f>
        <v>119</v>
      </c>
      <c r="H44" s="128">
        <f>G44+13</f>
        <v>132</v>
      </c>
      <c r="I44" s="128">
        <f>H44+10</f>
        <v>142</v>
      </c>
      <c r="J44" s="128">
        <f>I44+5</f>
        <v>147</v>
      </c>
      <c r="K44" s="128">
        <f t="shared" ref="K44:L44" si="114">J44+7</f>
        <v>154</v>
      </c>
      <c r="L44" s="128">
        <f t="shared" si="114"/>
        <v>161</v>
      </c>
      <c r="M44" s="128">
        <f>L44+8</f>
        <v>169</v>
      </c>
      <c r="N44" s="128">
        <f>M44+15</f>
        <v>184</v>
      </c>
      <c r="O44" s="115"/>
      <c r="P44" s="128">
        <f>N44+17</f>
        <v>201</v>
      </c>
      <c r="Q44" s="128">
        <f>P44+10</f>
        <v>211</v>
      </c>
      <c r="R44" s="128">
        <f>Q44+14</f>
        <v>225</v>
      </c>
      <c r="S44" s="128">
        <f>R44+15</f>
        <v>240</v>
      </c>
      <c r="T44" s="128">
        <f>S44+5</f>
        <v>245</v>
      </c>
      <c r="U44" s="128">
        <f>T44+13</f>
        <v>258</v>
      </c>
      <c r="V44" s="128">
        <f>U44+11</f>
        <v>269</v>
      </c>
      <c r="W44" s="128">
        <f>V44+14</f>
        <v>283</v>
      </c>
      <c r="X44" s="128">
        <f>W44+5</f>
        <v>288</v>
      </c>
      <c r="Y44" s="128">
        <f t="shared" ref="Y44:Z44" si="115">X44+7</f>
        <v>295</v>
      </c>
      <c r="Z44" s="128">
        <f t="shared" si="115"/>
        <v>302</v>
      </c>
      <c r="AA44" s="128">
        <f>Z44+12</f>
        <v>314</v>
      </c>
      <c r="AB44" s="115"/>
      <c r="AC44" s="129">
        <f>AA44+14</f>
        <v>328</v>
      </c>
      <c r="AD44" s="129">
        <f>AC44+2</f>
        <v>330</v>
      </c>
      <c r="AE44" s="129">
        <f>AD44+3</f>
        <v>333</v>
      </c>
      <c r="AF44" s="129">
        <v>360.0</v>
      </c>
      <c r="AG44" s="129">
        <v>360.0</v>
      </c>
      <c r="AH44" s="129">
        <v>383.0</v>
      </c>
      <c r="AI44" s="129">
        <v>383.0</v>
      </c>
      <c r="AJ44" s="129">
        <v>383.0</v>
      </c>
      <c r="AK44" s="129">
        <v>383.0</v>
      </c>
      <c r="AL44" s="129"/>
      <c r="AM44" s="129"/>
      <c r="AN44" s="129"/>
      <c r="AO44" s="116">
        <f>AK44</f>
        <v>383</v>
      </c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30"/>
      <c r="BB44" s="116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131"/>
      <c r="BY44" s="132"/>
      <c r="BZ44" s="105"/>
      <c r="CA44" s="105"/>
      <c r="CB44" s="105"/>
      <c r="CC44" s="105"/>
      <c r="CD44" s="105"/>
      <c r="CE44" s="105"/>
      <c r="CF44" s="105"/>
      <c r="CG44" s="107"/>
      <c r="CH44" s="107"/>
      <c r="CI44" s="107"/>
    </row>
    <row r="45" ht="12.0" customHeight="1">
      <c r="A45" s="108"/>
      <c r="B45" s="113" t="s">
        <v>129</v>
      </c>
      <c r="C45" s="128">
        <v>55.0</v>
      </c>
      <c r="D45" s="128">
        <v>82.0</v>
      </c>
      <c r="E45" s="128">
        <v>89.0</v>
      </c>
      <c r="F45" s="128">
        <v>96.0</v>
      </c>
      <c r="G45" s="128">
        <v>99.0</v>
      </c>
      <c r="H45" s="128">
        <v>106.0</v>
      </c>
      <c r="I45" s="128">
        <v>114.0</v>
      </c>
      <c r="J45" s="128">
        <v>119.0</v>
      </c>
      <c r="K45" s="128">
        <v>124.0</v>
      </c>
      <c r="L45" s="128">
        <v>130.0</v>
      </c>
      <c r="M45" s="128">
        <v>136.0</v>
      </c>
      <c r="N45" s="128">
        <v>146.0</v>
      </c>
      <c r="O45" s="115">
        <f>N45</f>
        <v>146</v>
      </c>
      <c r="P45" s="128">
        <v>173.0</v>
      </c>
      <c r="Q45" s="128">
        <v>176.0</v>
      </c>
      <c r="R45" s="128">
        <v>180.0</v>
      </c>
      <c r="S45" s="128">
        <v>181.0</v>
      </c>
      <c r="T45" s="128">
        <v>181.0</v>
      </c>
      <c r="U45" s="128">
        <v>189.0</v>
      </c>
      <c r="V45" s="128">
        <v>187.0</v>
      </c>
      <c r="W45" s="128">
        <v>200.0</v>
      </c>
      <c r="X45" s="128">
        <v>201.0</v>
      </c>
      <c r="Y45" s="128">
        <v>208.0</v>
      </c>
      <c r="Z45" s="128">
        <v>233.0</v>
      </c>
      <c r="AA45" s="128">
        <v>251.0</v>
      </c>
      <c r="AB45" s="115">
        <f t="shared" ref="AB45:AB46" si="117">AA45</f>
        <v>251</v>
      </c>
      <c r="AC45" s="129">
        <v>261.0</v>
      </c>
      <c r="AD45" s="129">
        <v>263.0</v>
      </c>
      <c r="AE45" s="129">
        <v>274.0</v>
      </c>
      <c r="AF45" s="129">
        <v>284.0</v>
      </c>
      <c r="AG45" s="129">
        <v>302.0</v>
      </c>
      <c r="AH45" s="129">
        <v>322.0</v>
      </c>
      <c r="AI45" s="129">
        <v>329.0</v>
      </c>
      <c r="AJ45" s="129">
        <v>340.0</v>
      </c>
      <c r="AK45" s="129">
        <v>341.0</v>
      </c>
      <c r="AL45" s="129">
        <v>350.0</v>
      </c>
      <c r="AM45" s="129">
        <v>360.0</v>
      </c>
      <c r="AN45" s="129">
        <v>363.0</v>
      </c>
      <c r="AO45" s="116">
        <f t="shared" ref="AO45:AO46" si="119">AN45</f>
        <v>363</v>
      </c>
      <c r="AP45" s="129">
        <f>AN45+9</f>
        <v>372</v>
      </c>
      <c r="AQ45" s="129">
        <f>AP45+7</f>
        <v>379</v>
      </c>
      <c r="AR45" s="129">
        <f>AQ45+10</f>
        <v>389</v>
      </c>
      <c r="AS45" s="129">
        <f>AR45+6</f>
        <v>395</v>
      </c>
      <c r="AT45" s="129">
        <f>AS45+9</f>
        <v>404</v>
      </c>
      <c r="AU45" s="129">
        <f>AT45+11</f>
        <v>415</v>
      </c>
      <c r="AV45" s="129"/>
      <c r="AW45" s="129"/>
      <c r="AX45" s="129"/>
      <c r="AY45" s="129"/>
      <c r="AZ45" s="129"/>
      <c r="BA45" s="130"/>
      <c r="BB45" s="116">
        <f>AU45</f>
        <v>415</v>
      </c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131"/>
      <c r="BY45" s="132"/>
      <c r="BZ45" s="105"/>
      <c r="CA45" s="105"/>
      <c r="CB45" s="105"/>
      <c r="CC45" s="105"/>
      <c r="CD45" s="105"/>
      <c r="CE45" s="105"/>
      <c r="CF45" s="105"/>
      <c r="CG45" s="107"/>
      <c r="CH45" s="107"/>
      <c r="CI45" s="107"/>
    </row>
    <row r="46" ht="12.0" customHeight="1">
      <c r="A46" s="108"/>
      <c r="B46" s="133" t="s">
        <v>130</v>
      </c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>
        <f>N45+10</f>
        <v>156</v>
      </c>
      <c r="Q46" s="134">
        <f t="shared" ref="Q46:Z46" si="116">P45+10</f>
        <v>183</v>
      </c>
      <c r="R46" s="134">
        <f t="shared" si="116"/>
        <v>186</v>
      </c>
      <c r="S46" s="134">
        <f t="shared" si="116"/>
        <v>190</v>
      </c>
      <c r="T46" s="134">
        <f t="shared" si="116"/>
        <v>191</v>
      </c>
      <c r="U46" s="134">
        <f t="shared" si="116"/>
        <v>191</v>
      </c>
      <c r="V46" s="134">
        <f t="shared" si="116"/>
        <v>199</v>
      </c>
      <c r="W46" s="134">
        <f t="shared" si="116"/>
        <v>197</v>
      </c>
      <c r="X46" s="134">
        <f t="shared" si="116"/>
        <v>210</v>
      </c>
      <c r="Y46" s="134">
        <f t="shared" si="116"/>
        <v>211</v>
      </c>
      <c r="Z46" s="134">
        <f t="shared" si="116"/>
        <v>218</v>
      </c>
      <c r="AA46" s="134">
        <v>226.0</v>
      </c>
      <c r="AB46" s="134">
        <f t="shared" si="117"/>
        <v>226</v>
      </c>
      <c r="AC46" s="135">
        <f>AA46+8</f>
        <v>234</v>
      </c>
      <c r="AD46" s="135">
        <f t="shared" ref="AD46:AM46" si="118">AC46+8</f>
        <v>242</v>
      </c>
      <c r="AE46" s="135">
        <f t="shared" si="118"/>
        <v>250</v>
      </c>
      <c r="AF46" s="135">
        <f t="shared" si="118"/>
        <v>258</v>
      </c>
      <c r="AG46" s="135">
        <f t="shared" si="118"/>
        <v>266</v>
      </c>
      <c r="AH46" s="135">
        <f t="shared" si="118"/>
        <v>274</v>
      </c>
      <c r="AI46" s="135">
        <f t="shared" si="118"/>
        <v>282</v>
      </c>
      <c r="AJ46" s="135">
        <f t="shared" si="118"/>
        <v>290</v>
      </c>
      <c r="AK46" s="135">
        <f t="shared" si="118"/>
        <v>298</v>
      </c>
      <c r="AL46" s="135">
        <f t="shared" si="118"/>
        <v>306</v>
      </c>
      <c r="AM46" s="135">
        <f t="shared" si="118"/>
        <v>314</v>
      </c>
      <c r="AN46" s="135">
        <v>323.0</v>
      </c>
      <c r="AO46" s="135">
        <f t="shared" si="119"/>
        <v>323</v>
      </c>
      <c r="AP46" s="135">
        <f t="shared" ref="AP46:AZ46" si="120">AO46+9</f>
        <v>332</v>
      </c>
      <c r="AQ46" s="135">
        <f t="shared" si="120"/>
        <v>341</v>
      </c>
      <c r="AR46" s="135">
        <f t="shared" si="120"/>
        <v>350</v>
      </c>
      <c r="AS46" s="135">
        <f t="shared" si="120"/>
        <v>359</v>
      </c>
      <c r="AT46" s="135">
        <f t="shared" si="120"/>
        <v>368</v>
      </c>
      <c r="AU46" s="135">
        <f t="shared" si="120"/>
        <v>377</v>
      </c>
      <c r="AV46" s="135">
        <f t="shared" si="120"/>
        <v>386</v>
      </c>
      <c r="AW46" s="135">
        <f t="shared" si="120"/>
        <v>395</v>
      </c>
      <c r="AX46" s="135">
        <f t="shared" si="120"/>
        <v>404</v>
      </c>
      <c r="AY46" s="135">
        <f t="shared" si="120"/>
        <v>413</v>
      </c>
      <c r="AZ46" s="135">
        <f t="shared" si="120"/>
        <v>422</v>
      </c>
      <c r="BA46" s="135">
        <f>AZ46+1</f>
        <v>423</v>
      </c>
      <c r="BB46" s="103">
        <f>BA46</f>
        <v>423</v>
      </c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104"/>
      <c r="BY46" s="105"/>
      <c r="BZ46" s="105"/>
      <c r="CA46" s="105"/>
      <c r="CB46" s="105"/>
      <c r="CC46" s="105"/>
      <c r="CD46" s="105"/>
      <c r="CE46" s="105"/>
      <c r="CF46" s="105"/>
      <c r="CG46" s="107"/>
      <c r="CH46" s="107"/>
      <c r="CI46" s="107"/>
    </row>
    <row r="47" ht="12.0" customHeight="1">
      <c r="A47" s="108"/>
      <c r="B47" s="120" t="s">
        <v>131</v>
      </c>
      <c r="C47" s="121">
        <f t="shared" ref="C47:N47" si="121">C45/C44</f>
        <v>1</v>
      </c>
      <c r="D47" s="121">
        <f t="shared" si="121"/>
        <v>0.8723404255</v>
      </c>
      <c r="E47" s="121">
        <f t="shared" si="121"/>
        <v>0.8725490196</v>
      </c>
      <c r="F47" s="121">
        <f t="shared" si="121"/>
        <v>0.8727272727</v>
      </c>
      <c r="G47" s="121">
        <f t="shared" si="121"/>
        <v>0.8319327731</v>
      </c>
      <c r="H47" s="121">
        <f t="shared" si="121"/>
        <v>0.803030303</v>
      </c>
      <c r="I47" s="121">
        <f t="shared" si="121"/>
        <v>0.8028169014</v>
      </c>
      <c r="J47" s="121">
        <f t="shared" si="121"/>
        <v>0.8095238095</v>
      </c>
      <c r="K47" s="121">
        <f t="shared" si="121"/>
        <v>0.8051948052</v>
      </c>
      <c r="L47" s="121">
        <f t="shared" si="121"/>
        <v>0.8074534161</v>
      </c>
      <c r="M47" s="121">
        <f t="shared" si="121"/>
        <v>0.8047337278</v>
      </c>
      <c r="N47" s="121">
        <f t="shared" si="121"/>
        <v>0.7934782609</v>
      </c>
      <c r="O47" s="121"/>
      <c r="P47" s="121">
        <f t="shared" ref="P47:AA47" si="122">P45/P44</f>
        <v>0.8606965174</v>
      </c>
      <c r="Q47" s="121">
        <f t="shared" si="122"/>
        <v>0.8341232227</v>
      </c>
      <c r="R47" s="121">
        <f t="shared" si="122"/>
        <v>0.8</v>
      </c>
      <c r="S47" s="121">
        <f t="shared" si="122"/>
        <v>0.7541666667</v>
      </c>
      <c r="T47" s="121">
        <f t="shared" si="122"/>
        <v>0.7387755102</v>
      </c>
      <c r="U47" s="121">
        <f t="shared" si="122"/>
        <v>0.7325581395</v>
      </c>
      <c r="V47" s="121">
        <f t="shared" si="122"/>
        <v>0.6951672862</v>
      </c>
      <c r="W47" s="121">
        <f t="shared" si="122"/>
        <v>0.7067137809</v>
      </c>
      <c r="X47" s="121">
        <f t="shared" si="122"/>
        <v>0.6979166667</v>
      </c>
      <c r="Y47" s="121">
        <f t="shared" si="122"/>
        <v>0.7050847458</v>
      </c>
      <c r="Z47" s="121">
        <f t="shared" si="122"/>
        <v>0.7715231788</v>
      </c>
      <c r="AA47" s="121">
        <f t="shared" si="122"/>
        <v>0.7993630573</v>
      </c>
      <c r="AB47" s="121"/>
      <c r="AC47" s="121">
        <f t="shared" ref="AC47:AH47" si="123">AC45/AC44</f>
        <v>0.7957317073</v>
      </c>
      <c r="AD47" s="121">
        <f t="shared" si="123"/>
        <v>0.796969697</v>
      </c>
      <c r="AE47" s="121">
        <f t="shared" si="123"/>
        <v>0.8228228228</v>
      </c>
      <c r="AF47" s="121">
        <f t="shared" si="123"/>
        <v>0.7888888889</v>
      </c>
      <c r="AG47" s="121">
        <f t="shared" si="123"/>
        <v>0.8388888889</v>
      </c>
      <c r="AH47" s="121">
        <f t="shared" si="123"/>
        <v>0.8407310705</v>
      </c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  <c r="BA47" s="137"/>
      <c r="BB47" s="136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104"/>
      <c r="BY47" s="105"/>
      <c r="BZ47" s="105"/>
      <c r="CA47" s="105"/>
      <c r="CB47" s="105"/>
      <c r="CC47" s="105"/>
      <c r="CD47" s="105"/>
      <c r="CE47" s="105"/>
      <c r="CF47" s="105"/>
      <c r="CG47" s="107"/>
      <c r="CH47" s="107"/>
      <c r="CI47" s="107"/>
    </row>
    <row r="48" ht="12.0" customHeight="1">
      <c r="A48" s="123"/>
      <c r="B48" s="124" t="s">
        <v>132</v>
      </c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88">
        <f t="shared" ref="P48:AA48" si="124">P46/P44</f>
        <v>0.776119403</v>
      </c>
      <c r="Q48" s="88">
        <f t="shared" si="124"/>
        <v>0.8672985782</v>
      </c>
      <c r="R48" s="88">
        <f t="shared" si="124"/>
        <v>0.8266666667</v>
      </c>
      <c r="S48" s="88">
        <f t="shared" si="124"/>
        <v>0.7916666667</v>
      </c>
      <c r="T48" s="88">
        <f t="shared" si="124"/>
        <v>0.7795918367</v>
      </c>
      <c r="U48" s="88">
        <f t="shared" si="124"/>
        <v>0.7403100775</v>
      </c>
      <c r="V48" s="88">
        <f t="shared" si="124"/>
        <v>0.7397769517</v>
      </c>
      <c r="W48" s="88">
        <f t="shared" si="124"/>
        <v>0.6961130742</v>
      </c>
      <c r="X48" s="88">
        <f t="shared" si="124"/>
        <v>0.7291666667</v>
      </c>
      <c r="Y48" s="88">
        <f t="shared" si="124"/>
        <v>0.7152542373</v>
      </c>
      <c r="Z48" s="88">
        <f t="shared" si="124"/>
        <v>0.7218543046</v>
      </c>
      <c r="AA48" s="88">
        <f t="shared" si="124"/>
        <v>0.7197452229</v>
      </c>
      <c r="AB48" s="88"/>
      <c r="AC48" s="88">
        <f t="shared" ref="AC48:AG48" si="125">AC46/AC44</f>
        <v>0.7134146341</v>
      </c>
      <c r="AD48" s="88">
        <f t="shared" si="125"/>
        <v>0.7333333333</v>
      </c>
      <c r="AE48" s="88">
        <f t="shared" si="125"/>
        <v>0.7507507508</v>
      </c>
      <c r="AF48" s="88">
        <f t="shared" si="125"/>
        <v>0.7166666667</v>
      </c>
      <c r="AG48" s="88">
        <f t="shared" si="125"/>
        <v>0.7388888889</v>
      </c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92"/>
      <c r="BB48" s="88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104"/>
      <c r="BY48" s="105"/>
      <c r="BZ48" s="105"/>
      <c r="CA48" s="105"/>
      <c r="CB48" s="105"/>
      <c r="CC48" s="105"/>
      <c r="CD48" s="105"/>
      <c r="CE48" s="105"/>
      <c r="CF48" s="105"/>
      <c r="CG48" s="107"/>
      <c r="CH48" s="107"/>
      <c r="CI48" s="107"/>
    </row>
    <row r="49" ht="12.0" customHeight="1">
      <c r="A49" s="6"/>
      <c r="B49" s="23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11"/>
      <c r="BY49" s="11"/>
      <c r="BZ49" s="11"/>
      <c r="CA49" s="11"/>
      <c r="CB49" s="11"/>
      <c r="CC49" s="11"/>
      <c r="CD49" s="11"/>
      <c r="CE49" s="11"/>
      <c r="CF49" s="11"/>
      <c r="CG49" s="2"/>
      <c r="CH49" s="2"/>
      <c r="CI49" s="2"/>
    </row>
    <row r="50" ht="12.0" customHeight="1">
      <c r="A50" s="6"/>
      <c r="B50" s="36" t="s">
        <v>133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37">
        <v>17105.0</v>
      </c>
      <c r="AD50" s="37">
        <v>16442.0</v>
      </c>
      <c r="AE50" s="37">
        <v>16601.0</v>
      </c>
      <c r="AF50" s="37">
        <v>15558.0</v>
      </c>
      <c r="AG50" s="37">
        <v>14972.0</v>
      </c>
      <c r="AH50" s="37">
        <v>14892.0</v>
      </c>
      <c r="AI50" s="37">
        <v>13277.0</v>
      </c>
      <c r="AJ50" s="38">
        <v>13611.0</v>
      </c>
      <c r="AK50" s="37">
        <v>12757.0</v>
      </c>
      <c r="AL50" s="37"/>
      <c r="AM50" s="37"/>
      <c r="AN50" s="37"/>
      <c r="AO50" s="73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73">
        <f t="shared" ref="BB50:BB52" si="126">SUM(AP50:BA50)</f>
        <v>0</v>
      </c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11"/>
      <c r="BY50" s="11"/>
      <c r="BZ50" s="11"/>
      <c r="CA50" s="11"/>
      <c r="CB50" s="11"/>
      <c r="CC50" s="11"/>
      <c r="CD50" s="11"/>
      <c r="CE50" s="11"/>
      <c r="CF50" s="11"/>
      <c r="CG50" s="2"/>
      <c r="CH50" s="2"/>
      <c r="CI50" s="2"/>
    </row>
    <row r="51" ht="12.0" customHeight="1">
      <c r="A51" s="6"/>
      <c r="B51" s="36" t="s">
        <v>134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37">
        <v>850.0</v>
      </c>
      <c r="AD51" s="37">
        <v>816.0</v>
      </c>
      <c r="AE51" s="37">
        <v>825.0</v>
      </c>
      <c r="AF51" s="37">
        <v>773.0</v>
      </c>
      <c r="AG51" s="37">
        <v>745.0</v>
      </c>
      <c r="AH51" s="37">
        <v>741.0</v>
      </c>
      <c r="AI51" s="37">
        <v>660.0</v>
      </c>
      <c r="AJ51" s="38">
        <v>677.3129162916292</v>
      </c>
      <c r="AK51" s="37">
        <v>634.8177317731773</v>
      </c>
      <c r="AL51" s="37"/>
      <c r="AM51" s="37"/>
      <c r="AN51" s="37"/>
      <c r="AO51" s="73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73">
        <f t="shared" si="126"/>
        <v>0</v>
      </c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11"/>
      <c r="BY51" s="11"/>
      <c r="BZ51" s="11"/>
      <c r="CA51" s="11"/>
      <c r="CB51" s="11"/>
      <c r="CC51" s="11"/>
      <c r="CD51" s="11"/>
      <c r="CE51" s="11"/>
      <c r="CF51" s="11"/>
      <c r="CG51" s="2"/>
      <c r="CH51" s="2"/>
      <c r="CI51" s="2"/>
    </row>
    <row r="52" ht="12.0" customHeight="1">
      <c r="A52" s="6"/>
      <c r="B52" s="36" t="s">
        <v>135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37">
        <v>701.0</v>
      </c>
      <c r="AD52" s="37">
        <v>815.0</v>
      </c>
      <c r="AE52" s="37">
        <v>328.0</v>
      </c>
      <c r="AF52" s="37">
        <v>452.0</v>
      </c>
      <c r="AG52" s="37">
        <v>325.0</v>
      </c>
      <c r="AH52" s="37">
        <v>527.0</v>
      </c>
      <c r="AI52" s="37">
        <v>364.0</v>
      </c>
      <c r="AJ52" s="38">
        <v>347.0</v>
      </c>
      <c r="AK52" s="37">
        <v>352.0</v>
      </c>
      <c r="AL52" s="37"/>
      <c r="AM52" s="37"/>
      <c r="AN52" s="37"/>
      <c r="AO52" s="73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73">
        <f t="shared" si="126"/>
        <v>0</v>
      </c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11"/>
      <c r="BY52" s="11"/>
      <c r="BZ52" s="11"/>
      <c r="CA52" s="11"/>
      <c r="CB52" s="11"/>
      <c r="CC52" s="11"/>
      <c r="CD52" s="11"/>
      <c r="CE52" s="11"/>
      <c r="CF52" s="11"/>
      <c r="CG52" s="2"/>
      <c r="CH52" s="2"/>
      <c r="CI52" s="2"/>
    </row>
    <row r="53" ht="12.0" customHeight="1">
      <c r="A53" s="6"/>
      <c r="B53" s="23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83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11"/>
      <c r="BY53" s="11"/>
      <c r="BZ53" s="11"/>
      <c r="CA53" s="11"/>
      <c r="CB53" s="11"/>
      <c r="CC53" s="11"/>
      <c r="CD53" s="11"/>
      <c r="CE53" s="11"/>
      <c r="CF53" s="11"/>
      <c r="CG53" s="2"/>
      <c r="CH53" s="2"/>
      <c r="CI53" s="2"/>
    </row>
    <row r="54" ht="12.0" customHeight="1">
      <c r="A54" s="6"/>
      <c r="B54" s="23"/>
      <c r="C54" s="11"/>
      <c r="D54" s="11"/>
      <c r="E54" s="11"/>
      <c r="F54" s="11"/>
      <c r="G54" s="11"/>
      <c r="H54" s="11"/>
      <c r="I54" s="11"/>
      <c r="J54" s="11"/>
      <c r="K54" s="83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11"/>
      <c r="BY54" s="11"/>
      <c r="BZ54" s="11"/>
      <c r="CA54" s="11"/>
      <c r="CB54" s="11"/>
      <c r="CC54" s="11"/>
      <c r="CD54" s="11"/>
      <c r="CE54" s="11"/>
      <c r="CF54" s="11"/>
      <c r="CG54" s="2"/>
      <c r="CH54" s="2"/>
      <c r="CI54" s="2"/>
    </row>
    <row r="55" ht="12.0" customHeight="1">
      <c r="A55" s="6"/>
      <c r="B55" s="23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11"/>
      <c r="BY55" s="11"/>
      <c r="BZ55" s="11"/>
      <c r="CA55" s="11"/>
      <c r="CB55" s="11"/>
      <c r="CC55" s="11"/>
      <c r="CD55" s="11"/>
      <c r="CE55" s="11"/>
      <c r="CF55" s="11"/>
      <c r="CG55" s="2"/>
      <c r="CH55" s="2"/>
      <c r="CI55" s="2"/>
    </row>
    <row r="56" ht="12.0" customHeight="1">
      <c r="A56" s="6"/>
      <c r="B56" s="23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11"/>
      <c r="BY56" s="11"/>
      <c r="BZ56" s="11"/>
      <c r="CA56" s="11"/>
      <c r="CB56" s="11"/>
      <c r="CC56" s="11"/>
      <c r="CD56" s="11"/>
      <c r="CE56" s="11"/>
      <c r="CF56" s="11"/>
      <c r="CG56" s="2"/>
      <c r="CH56" s="2"/>
      <c r="CI56" s="2"/>
    </row>
    <row r="57" ht="12.0" customHeight="1">
      <c r="A57" s="6"/>
      <c r="B57" s="23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83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11"/>
      <c r="BY57" s="11"/>
      <c r="BZ57" s="11"/>
      <c r="CA57" s="11"/>
      <c r="CB57" s="11"/>
      <c r="CC57" s="11"/>
      <c r="CD57" s="11"/>
      <c r="CE57" s="11"/>
      <c r="CF57" s="11"/>
      <c r="CG57" s="2"/>
      <c r="CH57" s="2"/>
      <c r="CI57" s="2"/>
    </row>
    <row r="58" ht="12.0" customHeight="1">
      <c r="A58" s="6"/>
      <c r="B58" s="23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11"/>
      <c r="BY58" s="11"/>
      <c r="BZ58" s="11"/>
      <c r="CA58" s="11"/>
      <c r="CB58" s="11"/>
      <c r="CC58" s="11"/>
      <c r="CD58" s="11"/>
      <c r="CE58" s="11"/>
      <c r="CF58" s="11"/>
      <c r="CG58" s="2"/>
      <c r="CH58" s="2"/>
      <c r="CI58" s="2"/>
    </row>
    <row r="59" ht="12.0" customHeight="1">
      <c r="A59" s="6"/>
      <c r="B59" s="23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11"/>
      <c r="BY59" s="11"/>
      <c r="BZ59" s="11"/>
      <c r="CA59" s="11"/>
      <c r="CB59" s="11"/>
      <c r="CC59" s="11"/>
      <c r="CD59" s="11"/>
      <c r="CE59" s="11"/>
      <c r="CF59" s="11"/>
      <c r="CG59" s="2"/>
      <c r="CH59" s="2"/>
      <c r="CI59" s="2"/>
    </row>
    <row r="60" ht="12.0" customHeight="1">
      <c r="A60" s="6"/>
      <c r="B60" s="23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11"/>
      <c r="BY60" s="11"/>
      <c r="BZ60" s="11"/>
      <c r="CA60" s="11"/>
      <c r="CB60" s="11"/>
      <c r="CC60" s="11"/>
      <c r="CD60" s="11"/>
      <c r="CE60" s="11"/>
      <c r="CF60" s="11"/>
      <c r="CG60" s="2"/>
      <c r="CH60" s="2"/>
      <c r="CI60" s="2"/>
    </row>
    <row r="61" ht="12.0" customHeight="1">
      <c r="A61" s="6"/>
      <c r="B61" s="23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11"/>
      <c r="BY61" s="11"/>
      <c r="BZ61" s="11"/>
      <c r="CA61" s="11"/>
      <c r="CB61" s="11"/>
      <c r="CC61" s="11"/>
      <c r="CD61" s="11"/>
      <c r="CE61" s="11"/>
      <c r="CF61" s="11"/>
      <c r="CG61" s="2"/>
      <c r="CH61" s="2"/>
      <c r="CI61" s="2"/>
    </row>
    <row r="62" ht="12.0" customHeight="1">
      <c r="A62" s="6"/>
      <c r="B62" s="23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11"/>
      <c r="BY62" s="11"/>
      <c r="BZ62" s="11"/>
      <c r="CA62" s="11"/>
      <c r="CB62" s="11"/>
      <c r="CC62" s="11"/>
      <c r="CD62" s="11"/>
      <c r="CE62" s="11"/>
      <c r="CF62" s="11"/>
      <c r="CG62" s="2"/>
      <c r="CH62" s="2"/>
      <c r="CI62" s="2"/>
    </row>
    <row r="63" ht="12.0" customHeight="1">
      <c r="A63" s="6"/>
      <c r="B63" s="2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11"/>
      <c r="BY63" s="11"/>
      <c r="BZ63" s="11"/>
      <c r="CA63" s="11"/>
      <c r="CB63" s="11"/>
      <c r="CC63" s="11"/>
      <c r="CD63" s="11"/>
      <c r="CE63" s="11"/>
      <c r="CF63" s="11"/>
      <c r="CG63" s="2"/>
      <c r="CH63" s="2"/>
      <c r="CI63" s="2"/>
    </row>
    <row r="64" ht="12.0" customHeight="1">
      <c r="A64" s="6"/>
      <c r="B64" s="23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11"/>
      <c r="BY64" s="11"/>
      <c r="BZ64" s="11"/>
      <c r="CA64" s="11"/>
      <c r="CB64" s="11"/>
      <c r="CC64" s="11"/>
      <c r="CD64" s="11"/>
      <c r="CE64" s="11"/>
      <c r="CF64" s="11"/>
      <c r="CG64" s="2"/>
      <c r="CH64" s="2"/>
      <c r="CI64" s="2"/>
    </row>
    <row r="65" ht="12.0" customHeight="1">
      <c r="A65" s="6"/>
      <c r="B65" s="23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11"/>
      <c r="BY65" s="11"/>
      <c r="BZ65" s="11"/>
      <c r="CA65" s="11"/>
      <c r="CB65" s="11"/>
      <c r="CC65" s="11"/>
      <c r="CD65" s="11"/>
      <c r="CE65" s="11"/>
      <c r="CF65" s="11"/>
      <c r="CG65" s="2"/>
      <c r="CH65" s="2"/>
      <c r="CI65" s="2"/>
    </row>
    <row r="66" ht="12.0" customHeight="1">
      <c r="A66" s="6"/>
      <c r="B66" s="23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11"/>
      <c r="BY66" s="11"/>
      <c r="BZ66" s="11"/>
      <c r="CA66" s="11"/>
      <c r="CB66" s="11"/>
      <c r="CC66" s="11"/>
      <c r="CD66" s="11"/>
      <c r="CE66" s="11"/>
      <c r="CF66" s="11"/>
      <c r="CG66" s="2"/>
      <c r="CH66" s="2"/>
      <c r="CI66" s="2"/>
    </row>
    <row r="67" ht="12.0" customHeight="1">
      <c r="A67" s="6"/>
      <c r="B67" s="2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11"/>
      <c r="BY67" s="11"/>
      <c r="BZ67" s="11"/>
      <c r="CA67" s="11"/>
      <c r="CB67" s="11"/>
      <c r="CC67" s="11"/>
      <c r="CD67" s="11"/>
      <c r="CE67" s="11"/>
      <c r="CF67" s="11"/>
      <c r="CG67" s="2"/>
      <c r="CH67" s="2"/>
      <c r="CI67" s="2"/>
    </row>
    <row r="68" ht="12.0" customHeight="1">
      <c r="A68" s="6"/>
      <c r="B68" s="23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11"/>
      <c r="BY68" s="11"/>
      <c r="BZ68" s="11"/>
      <c r="CA68" s="11"/>
      <c r="CB68" s="11"/>
      <c r="CC68" s="11"/>
      <c r="CD68" s="11"/>
      <c r="CE68" s="11"/>
      <c r="CF68" s="11"/>
      <c r="CG68" s="2"/>
      <c r="CH68" s="2"/>
      <c r="CI68" s="2"/>
    </row>
    <row r="69" ht="12.0" customHeight="1">
      <c r="A69" s="6"/>
      <c r="B69" s="23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11"/>
      <c r="BY69" s="11"/>
      <c r="BZ69" s="11"/>
      <c r="CA69" s="11"/>
      <c r="CB69" s="11"/>
      <c r="CC69" s="11"/>
      <c r="CD69" s="11"/>
      <c r="CE69" s="11"/>
      <c r="CF69" s="11"/>
      <c r="CG69" s="2"/>
      <c r="CH69" s="2"/>
      <c r="CI69" s="2"/>
    </row>
    <row r="70" ht="12.0" customHeight="1">
      <c r="A70" s="6"/>
      <c r="B70" s="23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11"/>
      <c r="BY70" s="11"/>
      <c r="BZ70" s="11"/>
      <c r="CA70" s="11"/>
      <c r="CB70" s="11"/>
      <c r="CC70" s="11"/>
      <c r="CD70" s="11"/>
      <c r="CE70" s="11"/>
      <c r="CF70" s="11"/>
      <c r="CG70" s="2"/>
      <c r="CH70" s="2"/>
      <c r="CI70" s="2"/>
    </row>
    <row r="71" ht="12.0" customHeight="1">
      <c r="A71" s="6"/>
      <c r="B71" s="23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11"/>
      <c r="BY71" s="11"/>
      <c r="BZ71" s="11"/>
      <c r="CA71" s="11"/>
      <c r="CB71" s="11"/>
      <c r="CC71" s="11"/>
      <c r="CD71" s="11"/>
      <c r="CE71" s="11"/>
      <c r="CF71" s="11"/>
      <c r="CG71" s="2"/>
      <c r="CH71" s="2"/>
      <c r="CI71" s="2"/>
    </row>
    <row r="72" ht="12.0" customHeight="1">
      <c r="A72" s="6"/>
      <c r="B72" s="23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11"/>
      <c r="BY72" s="11"/>
      <c r="BZ72" s="11"/>
      <c r="CA72" s="11"/>
      <c r="CB72" s="11"/>
      <c r="CC72" s="11"/>
      <c r="CD72" s="11"/>
      <c r="CE72" s="11"/>
      <c r="CF72" s="11"/>
      <c r="CG72" s="2"/>
      <c r="CH72" s="2"/>
      <c r="CI72" s="2"/>
    </row>
    <row r="73" ht="12.0" customHeight="1">
      <c r="A73" s="6"/>
      <c r="B73" s="2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11"/>
      <c r="BY73" s="11"/>
      <c r="BZ73" s="11"/>
      <c r="CA73" s="11"/>
      <c r="CB73" s="11"/>
      <c r="CC73" s="11"/>
      <c r="CD73" s="11"/>
      <c r="CE73" s="11"/>
      <c r="CF73" s="11"/>
      <c r="CG73" s="2"/>
      <c r="CH73" s="2"/>
      <c r="CI73" s="2"/>
    </row>
    <row r="74" ht="12.0" customHeight="1">
      <c r="A74" s="6"/>
      <c r="B74" s="23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11"/>
      <c r="BY74" s="11"/>
      <c r="BZ74" s="11"/>
      <c r="CA74" s="11"/>
      <c r="CB74" s="11"/>
      <c r="CC74" s="11"/>
      <c r="CD74" s="11"/>
      <c r="CE74" s="11"/>
      <c r="CF74" s="11"/>
      <c r="CG74" s="2"/>
      <c r="CH74" s="2"/>
      <c r="CI74" s="2"/>
    </row>
    <row r="75" ht="12.0" customHeight="1">
      <c r="A75" s="6"/>
      <c r="B75" s="23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11"/>
      <c r="BY75" s="11"/>
      <c r="BZ75" s="11"/>
      <c r="CA75" s="11"/>
      <c r="CB75" s="11"/>
      <c r="CC75" s="11"/>
      <c r="CD75" s="11"/>
      <c r="CE75" s="11"/>
      <c r="CF75" s="11"/>
      <c r="CG75" s="2"/>
      <c r="CH75" s="2"/>
      <c r="CI75" s="2"/>
    </row>
    <row r="76" ht="12.0" customHeight="1">
      <c r="A76" s="6"/>
      <c r="B76" s="23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11"/>
      <c r="BY76" s="11"/>
      <c r="BZ76" s="11"/>
      <c r="CA76" s="11"/>
      <c r="CB76" s="11"/>
      <c r="CC76" s="11"/>
      <c r="CD76" s="11"/>
      <c r="CE76" s="11"/>
      <c r="CF76" s="11"/>
      <c r="CG76" s="2"/>
      <c r="CH76" s="2"/>
      <c r="CI76" s="2"/>
    </row>
    <row r="77" ht="12.0" customHeight="1">
      <c r="A77" s="6"/>
      <c r="B77" s="23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11"/>
      <c r="BY77" s="11"/>
      <c r="BZ77" s="11"/>
      <c r="CA77" s="11"/>
      <c r="CB77" s="11"/>
      <c r="CC77" s="11"/>
      <c r="CD77" s="11"/>
      <c r="CE77" s="11"/>
      <c r="CF77" s="11"/>
      <c r="CG77" s="2"/>
      <c r="CH77" s="2"/>
      <c r="CI77" s="2"/>
    </row>
    <row r="78" ht="12.0" customHeight="1">
      <c r="A78" s="6"/>
      <c r="B78" s="2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11"/>
      <c r="BY78" s="11"/>
      <c r="BZ78" s="11"/>
      <c r="CA78" s="11"/>
      <c r="CB78" s="11"/>
      <c r="CC78" s="11"/>
      <c r="CD78" s="11"/>
      <c r="CE78" s="11"/>
      <c r="CF78" s="11"/>
      <c r="CG78" s="2"/>
      <c r="CH78" s="2"/>
      <c r="CI78" s="2"/>
    </row>
    <row r="79" ht="12.0" customHeight="1">
      <c r="A79" s="6"/>
      <c r="B79" s="23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11"/>
      <c r="BY79" s="11"/>
      <c r="BZ79" s="11"/>
      <c r="CA79" s="11"/>
      <c r="CB79" s="11"/>
      <c r="CC79" s="11"/>
      <c r="CD79" s="11"/>
      <c r="CE79" s="11"/>
      <c r="CF79" s="11"/>
      <c r="CG79" s="2"/>
      <c r="CH79" s="2"/>
      <c r="CI79" s="2"/>
    </row>
    <row r="80" ht="12.0" customHeight="1">
      <c r="A80" s="6"/>
      <c r="B80" s="23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11"/>
      <c r="BY80" s="11"/>
      <c r="BZ80" s="11"/>
      <c r="CA80" s="11"/>
      <c r="CB80" s="11"/>
      <c r="CC80" s="11"/>
      <c r="CD80" s="11"/>
      <c r="CE80" s="11"/>
      <c r="CF80" s="11"/>
      <c r="CG80" s="2"/>
      <c r="CH80" s="2"/>
      <c r="CI80" s="2"/>
    </row>
    <row r="81" ht="12.0" customHeight="1">
      <c r="A81" s="6"/>
      <c r="B81" s="23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11"/>
      <c r="BY81" s="11"/>
      <c r="BZ81" s="11"/>
      <c r="CA81" s="11"/>
      <c r="CB81" s="11"/>
      <c r="CC81" s="11"/>
      <c r="CD81" s="11"/>
      <c r="CE81" s="11"/>
      <c r="CF81" s="11"/>
      <c r="CG81" s="2"/>
      <c r="CH81" s="2"/>
      <c r="CI81" s="2"/>
    </row>
    <row r="82" ht="12.0" customHeight="1">
      <c r="A82" s="6"/>
      <c r="B82" s="23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11"/>
      <c r="BY82" s="11"/>
      <c r="BZ82" s="11"/>
      <c r="CA82" s="11"/>
      <c r="CB82" s="11"/>
      <c r="CC82" s="11"/>
      <c r="CD82" s="11"/>
      <c r="CE82" s="11"/>
      <c r="CF82" s="11"/>
      <c r="CG82" s="2"/>
      <c r="CH82" s="2"/>
      <c r="CI82" s="2"/>
    </row>
    <row r="83" ht="12.0" customHeight="1">
      <c r="A83" s="6"/>
      <c r="B83" s="23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11"/>
      <c r="BY83" s="11"/>
      <c r="BZ83" s="11"/>
      <c r="CA83" s="11"/>
      <c r="CB83" s="11"/>
      <c r="CC83" s="11"/>
      <c r="CD83" s="11"/>
      <c r="CE83" s="11"/>
      <c r="CF83" s="11"/>
      <c r="CG83" s="2"/>
      <c r="CH83" s="2"/>
      <c r="CI83" s="2"/>
    </row>
    <row r="84" ht="12.0" customHeight="1">
      <c r="A84" s="6"/>
      <c r="B84" s="23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11"/>
      <c r="BY84" s="11"/>
      <c r="BZ84" s="11"/>
      <c r="CA84" s="11"/>
      <c r="CB84" s="11"/>
      <c r="CC84" s="11"/>
      <c r="CD84" s="11"/>
      <c r="CE84" s="11"/>
      <c r="CF84" s="11"/>
      <c r="CG84" s="2"/>
      <c r="CH84" s="2"/>
      <c r="CI84" s="2"/>
    </row>
    <row r="85" ht="12.0" customHeight="1">
      <c r="A85" s="6"/>
      <c r="B85" s="23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11"/>
      <c r="BY85" s="11"/>
      <c r="BZ85" s="11"/>
      <c r="CA85" s="11"/>
      <c r="CB85" s="11"/>
      <c r="CC85" s="11"/>
      <c r="CD85" s="11"/>
      <c r="CE85" s="11"/>
      <c r="CF85" s="11"/>
      <c r="CG85" s="2"/>
      <c r="CH85" s="2"/>
      <c r="CI85" s="2"/>
    </row>
    <row r="86" ht="12.0" customHeight="1">
      <c r="A86" s="6"/>
      <c r="B86" s="23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11"/>
      <c r="BY86" s="11"/>
      <c r="BZ86" s="11"/>
      <c r="CA86" s="11"/>
      <c r="CB86" s="11"/>
      <c r="CC86" s="11"/>
      <c r="CD86" s="11"/>
      <c r="CE86" s="11"/>
      <c r="CF86" s="11"/>
      <c r="CG86" s="2"/>
      <c r="CH86" s="2"/>
      <c r="CI86" s="2"/>
    </row>
    <row r="87" ht="12.0" customHeight="1">
      <c r="A87" s="6"/>
      <c r="B87" s="23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11"/>
      <c r="BY87" s="11"/>
      <c r="BZ87" s="11"/>
      <c r="CA87" s="11"/>
      <c r="CB87" s="11"/>
      <c r="CC87" s="11"/>
      <c r="CD87" s="11"/>
      <c r="CE87" s="11"/>
      <c r="CF87" s="11"/>
      <c r="CG87" s="2"/>
      <c r="CH87" s="2"/>
      <c r="CI87" s="2"/>
    </row>
    <row r="88" ht="12.0" customHeight="1">
      <c r="A88" s="6"/>
      <c r="B88" s="23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11"/>
      <c r="BY88" s="11"/>
      <c r="BZ88" s="11"/>
      <c r="CA88" s="11"/>
      <c r="CB88" s="11"/>
      <c r="CC88" s="11"/>
      <c r="CD88" s="11"/>
      <c r="CE88" s="11"/>
      <c r="CF88" s="11"/>
      <c r="CG88" s="2"/>
      <c r="CH88" s="2"/>
      <c r="CI88" s="2"/>
    </row>
    <row r="89" ht="12.0" customHeight="1">
      <c r="A89" s="6"/>
      <c r="B89" s="23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11"/>
      <c r="BY89" s="11"/>
      <c r="BZ89" s="11"/>
      <c r="CA89" s="11"/>
      <c r="CB89" s="11"/>
      <c r="CC89" s="11"/>
      <c r="CD89" s="11"/>
      <c r="CE89" s="11"/>
      <c r="CF89" s="11"/>
      <c r="CG89" s="2"/>
      <c r="CH89" s="2"/>
      <c r="CI89" s="2"/>
    </row>
    <row r="90" ht="12.0" customHeight="1">
      <c r="A90" s="6"/>
      <c r="B90" s="23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11"/>
      <c r="BY90" s="11"/>
      <c r="BZ90" s="11"/>
      <c r="CA90" s="11"/>
      <c r="CB90" s="11"/>
      <c r="CC90" s="11"/>
      <c r="CD90" s="11"/>
      <c r="CE90" s="11"/>
      <c r="CF90" s="11"/>
      <c r="CG90" s="2"/>
      <c r="CH90" s="2"/>
      <c r="CI90" s="2"/>
    </row>
    <row r="91" ht="12.0" customHeight="1">
      <c r="A91" s="6"/>
      <c r="B91" s="2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11"/>
      <c r="BY91" s="11"/>
      <c r="BZ91" s="11"/>
      <c r="CA91" s="11"/>
      <c r="CB91" s="11"/>
      <c r="CC91" s="11"/>
      <c r="CD91" s="11"/>
      <c r="CE91" s="11"/>
      <c r="CF91" s="11"/>
      <c r="CG91" s="2"/>
      <c r="CH91" s="2"/>
      <c r="CI91" s="2"/>
    </row>
    <row r="92" ht="12.0" customHeight="1">
      <c r="A92" s="6"/>
      <c r="B92" s="23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11"/>
      <c r="BY92" s="11"/>
      <c r="BZ92" s="11"/>
      <c r="CA92" s="11"/>
      <c r="CB92" s="11"/>
      <c r="CC92" s="11"/>
      <c r="CD92" s="11"/>
      <c r="CE92" s="11"/>
      <c r="CF92" s="11"/>
      <c r="CG92" s="2"/>
      <c r="CH92" s="2"/>
      <c r="CI92" s="2"/>
    </row>
    <row r="93" ht="12.0" customHeight="1">
      <c r="A93" s="6"/>
      <c r="B93" s="23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11"/>
      <c r="BY93" s="11"/>
      <c r="BZ93" s="11"/>
      <c r="CA93" s="11"/>
      <c r="CB93" s="11"/>
      <c r="CC93" s="11"/>
      <c r="CD93" s="11"/>
      <c r="CE93" s="11"/>
      <c r="CF93" s="11"/>
      <c r="CG93" s="2"/>
      <c r="CH93" s="2"/>
      <c r="CI93" s="2"/>
    </row>
    <row r="94" ht="12.0" customHeight="1">
      <c r="A94" s="6"/>
      <c r="B94" s="23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11"/>
      <c r="BY94" s="11"/>
      <c r="BZ94" s="11"/>
      <c r="CA94" s="11"/>
      <c r="CB94" s="11"/>
      <c r="CC94" s="11"/>
      <c r="CD94" s="11"/>
      <c r="CE94" s="11"/>
      <c r="CF94" s="11"/>
      <c r="CG94" s="2"/>
      <c r="CH94" s="2"/>
      <c r="CI94" s="2"/>
    </row>
    <row r="95" ht="12.0" customHeight="1">
      <c r="A95" s="6"/>
      <c r="B95" s="23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11"/>
      <c r="BY95" s="11"/>
      <c r="BZ95" s="11"/>
      <c r="CA95" s="11"/>
      <c r="CB95" s="11"/>
      <c r="CC95" s="11"/>
      <c r="CD95" s="11"/>
      <c r="CE95" s="11"/>
      <c r="CF95" s="11"/>
      <c r="CG95" s="2"/>
      <c r="CH95" s="2"/>
      <c r="CI95" s="2"/>
    </row>
    <row r="96" ht="12.0" customHeight="1">
      <c r="A96" s="6"/>
      <c r="B96" s="23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11"/>
      <c r="BY96" s="11"/>
      <c r="BZ96" s="11"/>
      <c r="CA96" s="11"/>
      <c r="CB96" s="11"/>
      <c r="CC96" s="11"/>
      <c r="CD96" s="11"/>
      <c r="CE96" s="11"/>
      <c r="CF96" s="11"/>
      <c r="CG96" s="2"/>
      <c r="CH96" s="2"/>
      <c r="CI96" s="2"/>
    </row>
    <row r="97" ht="12.0" customHeight="1">
      <c r="A97" s="6"/>
      <c r="B97" s="23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11"/>
      <c r="BY97" s="11"/>
      <c r="BZ97" s="11"/>
      <c r="CA97" s="11"/>
      <c r="CB97" s="11"/>
      <c r="CC97" s="11"/>
      <c r="CD97" s="11"/>
      <c r="CE97" s="11"/>
      <c r="CF97" s="11"/>
      <c r="CG97" s="2"/>
      <c r="CH97" s="2"/>
      <c r="CI97" s="2"/>
    </row>
    <row r="98" ht="12.0" customHeight="1">
      <c r="A98" s="6"/>
      <c r="B98" s="23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11"/>
      <c r="BY98" s="11"/>
      <c r="BZ98" s="11"/>
      <c r="CA98" s="11"/>
      <c r="CB98" s="11"/>
      <c r="CC98" s="11"/>
      <c r="CD98" s="11"/>
      <c r="CE98" s="11"/>
      <c r="CF98" s="11"/>
      <c r="CG98" s="2"/>
      <c r="CH98" s="2"/>
      <c r="CI98" s="2"/>
    </row>
    <row r="99" ht="12.0" customHeight="1">
      <c r="A99" s="6"/>
      <c r="B99" s="23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11"/>
      <c r="BY99" s="11"/>
      <c r="BZ99" s="11"/>
      <c r="CA99" s="11"/>
      <c r="CB99" s="11"/>
      <c r="CC99" s="11"/>
      <c r="CD99" s="11"/>
      <c r="CE99" s="11"/>
      <c r="CF99" s="11"/>
      <c r="CG99" s="2"/>
      <c r="CH99" s="2"/>
      <c r="CI99" s="2"/>
    </row>
    <row r="100" ht="12.0" customHeight="1">
      <c r="A100" s="6"/>
      <c r="B100" s="23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11"/>
      <c r="BY100" s="11"/>
      <c r="BZ100" s="11"/>
      <c r="CA100" s="11"/>
      <c r="CB100" s="11"/>
      <c r="CC100" s="11"/>
      <c r="CD100" s="11"/>
      <c r="CE100" s="11"/>
      <c r="CF100" s="11"/>
      <c r="CG100" s="2"/>
      <c r="CH100" s="2"/>
      <c r="CI100" s="2"/>
    </row>
    <row r="101" ht="12.0" customHeight="1">
      <c r="A101" s="6"/>
      <c r="B101" s="23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11"/>
      <c r="BY101" s="11"/>
      <c r="BZ101" s="11"/>
      <c r="CA101" s="11"/>
      <c r="CB101" s="11"/>
      <c r="CC101" s="11"/>
      <c r="CD101" s="11"/>
      <c r="CE101" s="11"/>
      <c r="CF101" s="11"/>
      <c r="CG101" s="2"/>
      <c r="CH101" s="2"/>
      <c r="CI101" s="2"/>
    </row>
    <row r="102" ht="12.0" customHeight="1">
      <c r="A102" s="6"/>
      <c r="B102" s="23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11"/>
      <c r="BY102" s="11"/>
      <c r="BZ102" s="11"/>
      <c r="CA102" s="11"/>
      <c r="CB102" s="11"/>
      <c r="CC102" s="11"/>
      <c r="CD102" s="11"/>
      <c r="CE102" s="11"/>
      <c r="CF102" s="11"/>
      <c r="CG102" s="2"/>
      <c r="CH102" s="2"/>
      <c r="CI102" s="2"/>
    </row>
    <row r="103" ht="12.0" customHeight="1">
      <c r="A103" s="6"/>
      <c r="B103" s="23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11"/>
      <c r="BY103" s="11"/>
      <c r="BZ103" s="11"/>
      <c r="CA103" s="11"/>
      <c r="CB103" s="11"/>
      <c r="CC103" s="11"/>
      <c r="CD103" s="11"/>
      <c r="CE103" s="11"/>
      <c r="CF103" s="11"/>
      <c r="CG103" s="2"/>
      <c r="CH103" s="2"/>
      <c r="CI103" s="2"/>
    </row>
    <row r="104" ht="12.0" customHeight="1">
      <c r="A104" s="6"/>
      <c r="B104" s="23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11"/>
      <c r="BY104" s="11"/>
      <c r="BZ104" s="11"/>
      <c r="CA104" s="11"/>
      <c r="CB104" s="11"/>
      <c r="CC104" s="11"/>
      <c r="CD104" s="11"/>
      <c r="CE104" s="11"/>
      <c r="CF104" s="11"/>
      <c r="CG104" s="2"/>
      <c r="CH104" s="2"/>
      <c r="CI104" s="2"/>
    </row>
    <row r="105" ht="12.0" customHeight="1">
      <c r="A105" s="6"/>
      <c r="B105" s="23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11"/>
      <c r="BY105" s="11"/>
      <c r="BZ105" s="11"/>
      <c r="CA105" s="11"/>
      <c r="CB105" s="11"/>
      <c r="CC105" s="11"/>
      <c r="CD105" s="11"/>
      <c r="CE105" s="11"/>
      <c r="CF105" s="11"/>
      <c r="CG105" s="2"/>
      <c r="CH105" s="2"/>
      <c r="CI105" s="2"/>
    </row>
    <row r="106" ht="12.0" customHeight="1">
      <c r="A106" s="6"/>
      <c r="B106" s="23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11"/>
      <c r="BY106" s="11"/>
      <c r="BZ106" s="11"/>
      <c r="CA106" s="11"/>
      <c r="CB106" s="11"/>
      <c r="CC106" s="11"/>
      <c r="CD106" s="11"/>
      <c r="CE106" s="11"/>
      <c r="CF106" s="11"/>
      <c r="CG106" s="2"/>
      <c r="CH106" s="2"/>
      <c r="CI106" s="2"/>
    </row>
    <row r="107" ht="12.0" customHeight="1">
      <c r="A107" s="6"/>
      <c r="B107" s="23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11"/>
      <c r="BY107" s="11"/>
      <c r="BZ107" s="11"/>
      <c r="CA107" s="11"/>
      <c r="CB107" s="11"/>
      <c r="CC107" s="11"/>
      <c r="CD107" s="11"/>
      <c r="CE107" s="11"/>
      <c r="CF107" s="11"/>
      <c r="CG107" s="2"/>
      <c r="CH107" s="2"/>
      <c r="CI107" s="2"/>
    </row>
    <row r="108" ht="12.0" customHeight="1">
      <c r="A108" s="6"/>
      <c r="B108" s="23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11"/>
      <c r="BY108" s="11"/>
      <c r="BZ108" s="11"/>
      <c r="CA108" s="11"/>
      <c r="CB108" s="11"/>
      <c r="CC108" s="11"/>
      <c r="CD108" s="11"/>
      <c r="CE108" s="11"/>
      <c r="CF108" s="11"/>
      <c r="CG108" s="2"/>
      <c r="CH108" s="2"/>
      <c r="CI108" s="2"/>
    </row>
    <row r="109" ht="12.0" customHeight="1">
      <c r="A109" s="6"/>
      <c r="B109" s="23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11"/>
      <c r="BY109" s="11"/>
      <c r="BZ109" s="11"/>
      <c r="CA109" s="11"/>
      <c r="CB109" s="11"/>
      <c r="CC109" s="11"/>
      <c r="CD109" s="11"/>
      <c r="CE109" s="11"/>
      <c r="CF109" s="11"/>
      <c r="CG109" s="2"/>
      <c r="CH109" s="2"/>
      <c r="CI109" s="2"/>
    </row>
    <row r="110" ht="12.0" customHeight="1">
      <c r="A110" s="6"/>
      <c r="B110" s="23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11"/>
      <c r="BY110" s="11"/>
      <c r="BZ110" s="11"/>
      <c r="CA110" s="11"/>
      <c r="CB110" s="11"/>
      <c r="CC110" s="11"/>
      <c r="CD110" s="11"/>
      <c r="CE110" s="11"/>
      <c r="CF110" s="11"/>
      <c r="CG110" s="2"/>
      <c r="CH110" s="2"/>
      <c r="CI110" s="2"/>
    </row>
    <row r="111" ht="12.0" customHeight="1">
      <c r="A111" s="6"/>
      <c r="B111" s="23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11"/>
      <c r="BY111" s="11"/>
      <c r="BZ111" s="11"/>
      <c r="CA111" s="11"/>
      <c r="CB111" s="11"/>
      <c r="CC111" s="11"/>
      <c r="CD111" s="11"/>
      <c r="CE111" s="11"/>
      <c r="CF111" s="11"/>
      <c r="CG111" s="2"/>
      <c r="CH111" s="2"/>
      <c r="CI111" s="2"/>
    </row>
    <row r="112" ht="12.0" customHeight="1">
      <c r="A112" s="6"/>
      <c r="B112" s="23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11"/>
      <c r="BY112" s="11"/>
      <c r="BZ112" s="11"/>
      <c r="CA112" s="11"/>
      <c r="CB112" s="11"/>
      <c r="CC112" s="11"/>
      <c r="CD112" s="11"/>
      <c r="CE112" s="11"/>
      <c r="CF112" s="11"/>
      <c r="CG112" s="2"/>
      <c r="CH112" s="2"/>
      <c r="CI112" s="2"/>
    </row>
    <row r="113" ht="12.0" customHeight="1">
      <c r="A113" s="6"/>
      <c r="B113" s="23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11"/>
      <c r="BY113" s="11"/>
      <c r="BZ113" s="11"/>
      <c r="CA113" s="11"/>
      <c r="CB113" s="11"/>
      <c r="CC113" s="11"/>
      <c r="CD113" s="11"/>
      <c r="CE113" s="11"/>
      <c r="CF113" s="11"/>
      <c r="CG113" s="2"/>
      <c r="CH113" s="2"/>
      <c r="CI113" s="2"/>
    </row>
    <row r="114" ht="12.0" customHeight="1">
      <c r="A114" s="6"/>
      <c r="B114" s="23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11"/>
      <c r="BY114" s="11"/>
      <c r="BZ114" s="11"/>
      <c r="CA114" s="11"/>
      <c r="CB114" s="11"/>
      <c r="CC114" s="11"/>
      <c r="CD114" s="11"/>
      <c r="CE114" s="11"/>
      <c r="CF114" s="11"/>
      <c r="CG114" s="2"/>
      <c r="CH114" s="2"/>
      <c r="CI114" s="2"/>
    </row>
    <row r="115" ht="12.0" customHeight="1">
      <c r="A115" s="6"/>
      <c r="B115" s="23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11"/>
      <c r="BY115" s="11"/>
      <c r="BZ115" s="11"/>
      <c r="CA115" s="11"/>
      <c r="CB115" s="11"/>
      <c r="CC115" s="11"/>
      <c r="CD115" s="11"/>
      <c r="CE115" s="11"/>
      <c r="CF115" s="11"/>
      <c r="CG115" s="2"/>
      <c r="CH115" s="2"/>
      <c r="CI115" s="2"/>
    </row>
    <row r="116" ht="12.0" customHeight="1">
      <c r="A116" s="6"/>
      <c r="B116" s="23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11"/>
      <c r="BY116" s="11"/>
      <c r="BZ116" s="11"/>
      <c r="CA116" s="11"/>
      <c r="CB116" s="11"/>
      <c r="CC116" s="11"/>
      <c r="CD116" s="11"/>
      <c r="CE116" s="11"/>
      <c r="CF116" s="11"/>
      <c r="CG116" s="2"/>
      <c r="CH116" s="2"/>
      <c r="CI116" s="2"/>
    </row>
    <row r="117" ht="12.0" customHeight="1">
      <c r="A117" s="6"/>
      <c r="B117" s="23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11"/>
      <c r="BY117" s="11"/>
      <c r="BZ117" s="11"/>
      <c r="CA117" s="11"/>
      <c r="CB117" s="11"/>
      <c r="CC117" s="11"/>
      <c r="CD117" s="11"/>
      <c r="CE117" s="11"/>
      <c r="CF117" s="11"/>
      <c r="CG117" s="2"/>
      <c r="CH117" s="2"/>
      <c r="CI117" s="2"/>
    </row>
    <row r="118" ht="12.0" customHeight="1">
      <c r="A118" s="6"/>
      <c r="B118" s="23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11"/>
      <c r="BY118" s="11"/>
      <c r="BZ118" s="11"/>
      <c r="CA118" s="11"/>
      <c r="CB118" s="11"/>
      <c r="CC118" s="11"/>
      <c r="CD118" s="11"/>
      <c r="CE118" s="11"/>
      <c r="CF118" s="11"/>
      <c r="CG118" s="2"/>
      <c r="CH118" s="2"/>
      <c r="CI118" s="2"/>
    </row>
    <row r="119" ht="12.0" customHeight="1">
      <c r="A119" s="6"/>
      <c r="B119" s="23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11"/>
      <c r="BY119" s="11"/>
      <c r="BZ119" s="11"/>
      <c r="CA119" s="11"/>
      <c r="CB119" s="11"/>
      <c r="CC119" s="11"/>
      <c r="CD119" s="11"/>
      <c r="CE119" s="11"/>
      <c r="CF119" s="11"/>
      <c r="CG119" s="2"/>
      <c r="CH119" s="2"/>
      <c r="CI119" s="2"/>
    </row>
    <row r="120" ht="12.0" customHeight="1">
      <c r="A120" s="6"/>
      <c r="B120" s="23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11"/>
      <c r="BY120" s="11"/>
      <c r="BZ120" s="11"/>
      <c r="CA120" s="11"/>
      <c r="CB120" s="11"/>
      <c r="CC120" s="11"/>
      <c r="CD120" s="11"/>
      <c r="CE120" s="11"/>
      <c r="CF120" s="11"/>
      <c r="CG120" s="2"/>
      <c r="CH120" s="2"/>
      <c r="CI120" s="2"/>
    </row>
    <row r="121" ht="12.0" customHeight="1">
      <c r="A121" s="6"/>
      <c r="B121" s="23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11"/>
      <c r="BY121" s="11"/>
      <c r="BZ121" s="11"/>
      <c r="CA121" s="11"/>
      <c r="CB121" s="11"/>
      <c r="CC121" s="11"/>
      <c r="CD121" s="11"/>
      <c r="CE121" s="11"/>
      <c r="CF121" s="11"/>
      <c r="CG121" s="2"/>
      <c r="CH121" s="2"/>
      <c r="CI121" s="2"/>
    </row>
    <row r="122" ht="12.0" customHeight="1">
      <c r="A122" s="6"/>
      <c r="B122" s="23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11"/>
      <c r="BY122" s="11"/>
      <c r="BZ122" s="11"/>
      <c r="CA122" s="11"/>
      <c r="CB122" s="11"/>
      <c r="CC122" s="11"/>
      <c r="CD122" s="11"/>
      <c r="CE122" s="11"/>
      <c r="CF122" s="11"/>
      <c r="CG122" s="2"/>
      <c r="CH122" s="2"/>
      <c r="CI122" s="2"/>
    </row>
    <row r="123" ht="12.0" customHeight="1">
      <c r="A123" s="6"/>
      <c r="B123" s="23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11"/>
      <c r="BY123" s="11"/>
      <c r="BZ123" s="11"/>
      <c r="CA123" s="11"/>
      <c r="CB123" s="11"/>
      <c r="CC123" s="11"/>
      <c r="CD123" s="11"/>
      <c r="CE123" s="11"/>
      <c r="CF123" s="11"/>
      <c r="CG123" s="2"/>
      <c r="CH123" s="2"/>
      <c r="CI123" s="2"/>
    </row>
    <row r="124" ht="12.0" customHeight="1">
      <c r="A124" s="6"/>
      <c r="B124" s="23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11"/>
      <c r="BY124" s="11"/>
      <c r="BZ124" s="11"/>
      <c r="CA124" s="11"/>
      <c r="CB124" s="11"/>
      <c r="CC124" s="11"/>
      <c r="CD124" s="11"/>
      <c r="CE124" s="11"/>
      <c r="CF124" s="11"/>
      <c r="CG124" s="2"/>
      <c r="CH124" s="2"/>
      <c r="CI124" s="2"/>
    </row>
    <row r="125" ht="12.0" customHeight="1">
      <c r="A125" s="6"/>
      <c r="B125" s="23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11"/>
      <c r="BY125" s="11"/>
      <c r="BZ125" s="11"/>
      <c r="CA125" s="11"/>
      <c r="CB125" s="11"/>
      <c r="CC125" s="11"/>
      <c r="CD125" s="11"/>
      <c r="CE125" s="11"/>
      <c r="CF125" s="11"/>
      <c r="CG125" s="2"/>
      <c r="CH125" s="2"/>
      <c r="CI125" s="2"/>
    </row>
    <row r="126" ht="12.0" customHeight="1">
      <c r="A126" s="6"/>
      <c r="B126" s="23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11"/>
      <c r="BY126" s="11"/>
      <c r="BZ126" s="11"/>
      <c r="CA126" s="11"/>
      <c r="CB126" s="11"/>
      <c r="CC126" s="11"/>
      <c r="CD126" s="11"/>
      <c r="CE126" s="11"/>
      <c r="CF126" s="11"/>
      <c r="CG126" s="2"/>
      <c r="CH126" s="2"/>
      <c r="CI126" s="2"/>
    </row>
    <row r="127" ht="12.0" customHeight="1">
      <c r="A127" s="6"/>
      <c r="B127" s="23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11"/>
      <c r="BY127" s="11"/>
      <c r="BZ127" s="11"/>
      <c r="CA127" s="11"/>
      <c r="CB127" s="11"/>
      <c r="CC127" s="11"/>
      <c r="CD127" s="11"/>
      <c r="CE127" s="11"/>
      <c r="CF127" s="11"/>
      <c r="CG127" s="2"/>
      <c r="CH127" s="2"/>
      <c r="CI127" s="2"/>
    </row>
    <row r="128" ht="12.0" customHeight="1">
      <c r="A128" s="6"/>
      <c r="B128" s="23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11"/>
      <c r="BY128" s="11"/>
      <c r="BZ128" s="11"/>
      <c r="CA128" s="11"/>
      <c r="CB128" s="11"/>
      <c r="CC128" s="11"/>
      <c r="CD128" s="11"/>
      <c r="CE128" s="11"/>
      <c r="CF128" s="11"/>
      <c r="CG128" s="2"/>
      <c r="CH128" s="2"/>
      <c r="CI128" s="2"/>
    </row>
    <row r="129" ht="12.0" customHeight="1">
      <c r="A129" s="6"/>
      <c r="B129" s="23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11"/>
      <c r="BY129" s="11"/>
      <c r="BZ129" s="11"/>
      <c r="CA129" s="11"/>
      <c r="CB129" s="11"/>
      <c r="CC129" s="11"/>
      <c r="CD129" s="11"/>
      <c r="CE129" s="11"/>
      <c r="CF129" s="11"/>
      <c r="CG129" s="2"/>
      <c r="CH129" s="2"/>
      <c r="CI129" s="2"/>
    </row>
    <row r="130" ht="12.0" customHeight="1">
      <c r="A130" s="6"/>
      <c r="B130" s="23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11"/>
      <c r="BY130" s="11"/>
      <c r="BZ130" s="11"/>
      <c r="CA130" s="11"/>
      <c r="CB130" s="11"/>
      <c r="CC130" s="11"/>
      <c r="CD130" s="11"/>
      <c r="CE130" s="11"/>
      <c r="CF130" s="11"/>
      <c r="CG130" s="2"/>
      <c r="CH130" s="2"/>
      <c r="CI130" s="2"/>
    </row>
    <row r="131" ht="12.0" customHeight="1">
      <c r="A131" s="6"/>
      <c r="B131" s="23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11"/>
      <c r="BY131" s="11"/>
      <c r="BZ131" s="11"/>
      <c r="CA131" s="11"/>
      <c r="CB131" s="11"/>
      <c r="CC131" s="11"/>
      <c r="CD131" s="11"/>
      <c r="CE131" s="11"/>
      <c r="CF131" s="11"/>
      <c r="CG131" s="2"/>
      <c r="CH131" s="2"/>
      <c r="CI131" s="2"/>
    </row>
    <row r="132" ht="12.0" customHeight="1">
      <c r="A132" s="6"/>
      <c r="B132" s="23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11"/>
      <c r="BY132" s="11"/>
      <c r="BZ132" s="11"/>
      <c r="CA132" s="11"/>
      <c r="CB132" s="11"/>
      <c r="CC132" s="11"/>
      <c r="CD132" s="11"/>
      <c r="CE132" s="11"/>
      <c r="CF132" s="11"/>
      <c r="CG132" s="2"/>
      <c r="CH132" s="2"/>
      <c r="CI132" s="2"/>
    </row>
    <row r="133" ht="12.0" customHeight="1">
      <c r="A133" s="6"/>
      <c r="B133" s="23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11"/>
      <c r="BY133" s="11"/>
      <c r="BZ133" s="11"/>
      <c r="CA133" s="11"/>
      <c r="CB133" s="11"/>
      <c r="CC133" s="11"/>
      <c r="CD133" s="11"/>
      <c r="CE133" s="11"/>
      <c r="CF133" s="11"/>
      <c r="CG133" s="2"/>
      <c r="CH133" s="2"/>
      <c r="CI133" s="2"/>
    </row>
    <row r="134" ht="12.0" customHeight="1">
      <c r="A134" s="6"/>
      <c r="B134" s="23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11"/>
      <c r="BY134" s="11"/>
      <c r="BZ134" s="11"/>
      <c r="CA134" s="11"/>
      <c r="CB134" s="11"/>
      <c r="CC134" s="11"/>
      <c r="CD134" s="11"/>
      <c r="CE134" s="11"/>
      <c r="CF134" s="11"/>
      <c r="CG134" s="2"/>
      <c r="CH134" s="2"/>
      <c r="CI134" s="2"/>
    </row>
    <row r="135" ht="12.0" customHeight="1">
      <c r="A135" s="6"/>
      <c r="B135" s="23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11"/>
      <c r="BY135" s="11"/>
      <c r="BZ135" s="11"/>
      <c r="CA135" s="11"/>
      <c r="CB135" s="11"/>
      <c r="CC135" s="11"/>
      <c r="CD135" s="11"/>
      <c r="CE135" s="11"/>
      <c r="CF135" s="11"/>
      <c r="CG135" s="2"/>
      <c r="CH135" s="2"/>
      <c r="CI135" s="2"/>
    </row>
    <row r="136" ht="12.0" customHeight="1">
      <c r="A136" s="6"/>
      <c r="B136" s="23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11"/>
      <c r="BY136" s="11"/>
      <c r="BZ136" s="11"/>
      <c r="CA136" s="11"/>
      <c r="CB136" s="11"/>
      <c r="CC136" s="11"/>
      <c r="CD136" s="11"/>
      <c r="CE136" s="11"/>
      <c r="CF136" s="11"/>
      <c r="CG136" s="2"/>
      <c r="CH136" s="2"/>
      <c r="CI136" s="2"/>
    </row>
    <row r="137" ht="12.0" customHeight="1">
      <c r="A137" s="6"/>
      <c r="B137" s="23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11"/>
      <c r="BY137" s="11"/>
      <c r="BZ137" s="11"/>
      <c r="CA137" s="11"/>
      <c r="CB137" s="11"/>
      <c r="CC137" s="11"/>
      <c r="CD137" s="11"/>
      <c r="CE137" s="11"/>
      <c r="CF137" s="11"/>
      <c r="CG137" s="2"/>
      <c r="CH137" s="2"/>
      <c r="CI137" s="2"/>
    </row>
    <row r="138" ht="12.0" customHeight="1">
      <c r="A138" s="6"/>
      <c r="B138" s="23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11"/>
      <c r="BY138" s="11"/>
      <c r="BZ138" s="11"/>
      <c r="CA138" s="11"/>
      <c r="CB138" s="11"/>
      <c r="CC138" s="11"/>
      <c r="CD138" s="11"/>
      <c r="CE138" s="11"/>
      <c r="CF138" s="11"/>
      <c r="CG138" s="2"/>
      <c r="CH138" s="2"/>
      <c r="CI138" s="2"/>
    </row>
    <row r="139" ht="12.0" customHeight="1">
      <c r="A139" s="6"/>
      <c r="B139" s="23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11"/>
      <c r="BY139" s="11"/>
      <c r="BZ139" s="11"/>
      <c r="CA139" s="11"/>
      <c r="CB139" s="11"/>
      <c r="CC139" s="11"/>
      <c r="CD139" s="11"/>
      <c r="CE139" s="11"/>
      <c r="CF139" s="11"/>
      <c r="CG139" s="2"/>
      <c r="CH139" s="2"/>
      <c r="CI139" s="2"/>
    </row>
    <row r="140" ht="12.0" customHeight="1">
      <c r="A140" s="6"/>
      <c r="B140" s="23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11"/>
      <c r="BY140" s="11"/>
      <c r="BZ140" s="11"/>
      <c r="CA140" s="11"/>
      <c r="CB140" s="11"/>
      <c r="CC140" s="11"/>
      <c r="CD140" s="11"/>
      <c r="CE140" s="11"/>
      <c r="CF140" s="11"/>
      <c r="CG140" s="2"/>
      <c r="CH140" s="2"/>
      <c r="CI140" s="2"/>
    </row>
    <row r="141" ht="12.0" customHeight="1">
      <c r="A141" s="6"/>
      <c r="B141" s="23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11"/>
      <c r="BY141" s="11"/>
      <c r="BZ141" s="11"/>
      <c r="CA141" s="11"/>
      <c r="CB141" s="11"/>
      <c r="CC141" s="11"/>
      <c r="CD141" s="11"/>
      <c r="CE141" s="11"/>
      <c r="CF141" s="11"/>
      <c r="CG141" s="2"/>
      <c r="CH141" s="2"/>
      <c r="CI141" s="2"/>
    </row>
    <row r="142" ht="12.0" customHeight="1">
      <c r="A142" s="6"/>
      <c r="B142" s="23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11"/>
      <c r="BY142" s="11"/>
      <c r="BZ142" s="11"/>
      <c r="CA142" s="11"/>
      <c r="CB142" s="11"/>
      <c r="CC142" s="11"/>
      <c r="CD142" s="11"/>
      <c r="CE142" s="11"/>
      <c r="CF142" s="11"/>
      <c r="CG142" s="2"/>
      <c r="CH142" s="2"/>
      <c r="CI142" s="2"/>
    </row>
    <row r="143" ht="12.0" customHeight="1">
      <c r="A143" s="6"/>
      <c r="B143" s="23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11"/>
      <c r="BY143" s="11"/>
      <c r="BZ143" s="11"/>
      <c r="CA143" s="11"/>
      <c r="CB143" s="11"/>
      <c r="CC143" s="11"/>
      <c r="CD143" s="11"/>
      <c r="CE143" s="11"/>
      <c r="CF143" s="11"/>
      <c r="CG143" s="2"/>
      <c r="CH143" s="2"/>
      <c r="CI143" s="2"/>
    </row>
    <row r="144" ht="12.0" customHeight="1">
      <c r="A144" s="6"/>
      <c r="B144" s="23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11"/>
      <c r="BY144" s="11"/>
      <c r="BZ144" s="11"/>
      <c r="CA144" s="11"/>
      <c r="CB144" s="11"/>
      <c r="CC144" s="11"/>
      <c r="CD144" s="11"/>
      <c r="CE144" s="11"/>
      <c r="CF144" s="11"/>
      <c r="CG144" s="2"/>
      <c r="CH144" s="2"/>
      <c r="CI144" s="2"/>
    </row>
    <row r="145" ht="12.0" customHeight="1">
      <c r="A145" s="6"/>
      <c r="B145" s="23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11"/>
      <c r="BY145" s="11"/>
      <c r="BZ145" s="11"/>
      <c r="CA145" s="11"/>
      <c r="CB145" s="11"/>
      <c r="CC145" s="11"/>
      <c r="CD145" s="11"/>
      <c r="CE145" s="11"/>
      <c r="CF145" s="11"/>
      <c r="CG145" s="2"/>
      <c r="CH145" s="2"/>
      <c r="CI145" s="2"/>
    </row>
    <row r="146" ht="12.0" customHeight="1">
      <c r="A146" s="6"/>
      <c r="B146" s="23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11"/>
      <c r="BY146" s="11"/>
      <c r="BZ146" s="11"/>
      <c r="CA146" s="11"/>
      <c r="CB146" s="11"/>
      <c r="CC146" s="11"/>
      <c r="CD146" s="11"/>
      <c r="CE146" s="11"/>
      <c r="CF146" s="11"/>
      <c r="CG146" s="2"/>
      <c r="CH146" s="2"/>
      <c r="CI146" s="2"/>
    </row>
    <row r="147" ht="12.0" customHeight="1">
      <c r="A147" s="6"/>
      <c r="B147" s="23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11"/>
      <c r="BY147" s="11"/>
      <c r="BZ147" s="11"/>
      <c r="CA147" s="11"/>
      <c r="CB147" s="11"/>
      <c r="CC147" s="11"/>
      <c r="CD147" s="11"/>
      <c r="CE147" s="11"/>
      <c r="CF147" s="11"/>
      <c r="CG147" s="2"/>
      <c r="CH147" s="2"/>
      <c r="CI147" s="2"/>
    </row>
    <row r="148" ht="12.0" customHeight="1">
      <c r="A148" s="6"/>
      <c r="B148" s="23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11"/>
      <c r="BY148" s="11"/>
      <c r="BZ148" s="11"/>
      <c r="CA148" s="11"/>
      <c r="CB148" s="11"/>
      <c r="CC148" s="11"/>
      <c r="CD148" s="11"/>
      <c r="CE148" s="11"/>
      <c r="CF148" s="11"/>
      <c r="CG148" s="2"/>
      <c r="CH148" s="2"/>
      <c r="CI148" s="2"/>
    </row>
    <row r="149" ht="12.0" customHeight="1">
      <c r="A149" s="6"/>
      <c r="B149" s="23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11"/>
      <c r="BY149" s="11"/>
      <c r="BZ149" s="11"/>
      <c r="CA149" s="11"/>
      <c r="CB149" s="11"/>
      <c r="CC149" s="11"/>
      <c r="CD149" s="11"/>
      <c r="CE149" s="11"/>
      <c r="CF149" s="11"/>
      <c r="CG149" s="2"/>
      <c r="CH149" s="2"/>
      <c r="CI149" s="2"/>
    </row>
    <row r="150" ht="12.0" customHeight="1">
      <c r="A150" s="6"/>
      <c r="B150" s="23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11"/>
      <c r="BY150" s="11"/>
      <c r="BZ150" s="11"/>
      <c r="CA150" s="11"/>
      <c r="CB150" s="11"/>
      <c r="CC150" s="11"/>
      <c r="CD150" s="11"/>
      <c r="CE150" s="11"/>
      <c r="CF150" s="11"/>
      <c r="CG150" s="2"/>
      <c r="CH150" s="2"/>
      <c r="CI150" s="2"/>
    </row>
    <row r="151" ht="12.0" customHeight="1">
      <c r="A151" s="6"/>
      <c r="B151" s="23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11"/>
      <c r="BY151" s="11"/>
      <c r="BZ151" s="11"/>
      <c r="CA151" s="11"/>
      <c r="CB151" s="11"/>
      <c r="CC151" s="11"/>
      <c r="CD151" s="11"/>
      <c r="CE151" s="11"/>
      <c r="CF151" s="11"/>
      <c r="CG151" s="2"/>
      <c r="CH151" s="2"/>
      <c r="CI151" s="2"/>
    </row>
    <row r="152" ht="12.0" customHeight="1">
      <c r="A152" s="6"/>
      <c r="B152" s="23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11"/>
      <c r="BY152" s="11"/>
      <c r="BZ152" s="11"/>
      <c r="CA152" s="11"/>
      <c r="CB152" s="11"/>
      <c r="CC152" s="11"/>
      <c r="CD152" s="11"/>
      <c r="CE152" s="11"/>
      <c r="CF152" s="11"/>
      <c r="CG152" s="2"/>
      <c r="CH152" s="2"/>
      <c r="CI152" s="2"/>
    </row>
    <row r="153" ht="12.0" customHeight="1">
      <c r="A153" s="6"/>
      <c r="B153" s="23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11"/>
      <c r="BY153" s="11"/>
      <c r="BZ153" s="11"/>
      <c r="CA153" s="11"/>
      <c r="CB153" s="11"/>
      <c r="CC153" s="11"/>
      <c r="CD153" s="11"/>
      <c r="CE153" s="11"/>
      <c r="CF153" s="11"/>
      <c r="CG153" s="2"/>
      <c r="CH153" s="2"/>
      <c r="CI153" s="2"/>
    </row>
    <row r="154" ht="12.0" customHeight="1">
      <c r="A154" s="6"/>
      <c r="B154" s="23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11"/>
      <c r="BY154" s="11"/>
      <c r="BZ154" s="11"/>
      <c r="CA154" s="11"/>
      <c r="CB154" s="11"/>
      <c r="CC154" s="11"/>
      <c r="CD154" s="11"/>
      <c r="CE154" s="11"/>
      <c r="CF154" s="11"/>
      <c r="CG154" s="2"/>
      <c r="CH154" s="2"/>
      <c r="CI154" s="2"/>
    </row>
    <row r="155" ht="12.0" customHeight="1">
      <c r="A155" s="6"/>
      <c r="B155" s="23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11"/>
      <c r="BY155" s="11"/>
      <c r="BZ155" s="11"/>
      <c r="CA155" s="11"/>
      <c r="CB155" s="11"/>
      <c r="CC155" s="11"/>
      <c r="CD155" s="11"/>
      <c r="CE155" s="11"/>
      <c r="CF155" s="11"/>
      <c r="CG155" s="2"/>
      <c r="CH155" s="2"/>
      <c r="CI155" s="2"/>
    </row>
    <row r="156" ht="12.0" customHeight="1">
      <c r="A156" s="6"/>
      <c r="B156" s="23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11"/>
      <c r="BY156" s="11"/>
      <c r="BZ156" s="11"/>
      <c r="CA156" s="11"/>
      <c r="CB156" s="11"/>
      <c r="CC156" s="11"/>
      <c r="CD156" s="11"/>
      <c r="CE156" s="11"/>
      <c r="CF156" s="11"/>
      <c r="CG156" s="2"/>
      <c r="CH156" s="2"/>
      <c r="CI156" s="2"/>
    </row>
    <row r="157" ht="12.0" customHeight="1">
      <c r="A157" s="6"/>
      <c r="B157" s="23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11"/>
      <c r="BY157" s="11"/>
      <c r="BZ157" s="11"/>
      <c r="CA157" s="11"/>
      <c r="CB157" s="11"/>
      <c r="CC157" s="11"/>
      <c r="CD157" s="11"/>
      <c r="CE157" s="11"/>
      <c r="CF157" s="11"/>
      <c r="CG157" s="2"/>
      <c r="CH157" s="2"/>
      <c r="CI157" s="2"/>
    </row>
    <row r="158" ht="12.0" customHeight="1">
      <c r="A158" s="6"/>
      <c r="B158" s="23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11"/>
      <c r="BY158" s="11"/>
      <c r="BZ158" s="11"/>
      <c r="CA158" s="11"/>
      <c r="CB158" s="11"/>
      <c r="CC158" s="11"/>
      <c r="CD158" s="11"/>
      <c r="CE158" s="11"/>
      <c r="CF158" s="11"/>
      <c r="CG158" s="2"/>
      <c r="CH158" s="2"/>
      <c r="CI158" s="2"/>
    </row>
    <row r="159" ht="12.0" customHeight="1">
      <c r="A159" s="6"/>
      <c r="B159" s="23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11"/>
      <c r="BY159" s="11"/>
      <c r="BZ159" s="11"/>
      <c r="CA159" s="11"/>
      <c r="CB159" s="11"/>
      <c r="CC159" s="11"/>
      <c r="CD159" s="11"/>
      <c r="CE159" s="11"/>
      <c r="CF159" s="11"/>
      <c r="CG159" s="2"/>
      <c r="CH159" s="2"/>
      <c r="CI159" s="2"/>
    </row>
    <row r="160" ht="12.0" customHeight="1">
      <c r="A160" s="6"/>
      <c r="B160" s="23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11"/>
      <c r="BY160" s="11"/>
      <c r="BZ160" s="11"/>
      <c r="CA160" s="11"/>
      <c r="CB160" s="11"/>
      <c r="CC160" s="11"/>
      <c r="CD160" s="11"/>
      <c r="CE160" s="11"/>
      <c r="CF160" s="11"/>
      <c r="CG160" s="2"/>
      <c r="CH160" s="2"/>
      <c r="CI160" s="2"/>
    </row>
    <row r="161" ht="12.0" customHeight="1">
      <c r="A161" s="6"/>
      <c r="B161" s="23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11"/>
      <c r="BY161" s="11"/>
      <c r="BZ161" s="11"/>
      <c r="CA161" s="11"/>
      <c r="CB161" s="11"/>
      <c r="CC161" s="11"/>
      <c r="CD161" s="11"/>
      <c r="CE161" s="11"/>
      <c r="CF161" s="11"/>
      <c r="CG161" s="2"/>
      <c r="CH161" s="2"/>
      <c r="CI161" s="2"/>
    </row>
    <row r="162" ht="12.0" customHeight="1">
      <c r="A162" s="6"/>
      <c r="B162" s="23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11"/>
      <c r="BY162" s="11"/>
      <c r="BZ162" s="11"/>
      <c r="CA162" s="11"/>
      <c r="CB162" s="11"/>
      <c r="CC162" s="11"/>
      <c r="CD162" s="11"/>
      <c r="CE162" s="11"/>
      <c r="CF162" s="11"/>
      <c r="CG162" s="2"/>
      <c r="CH162" s="2"/>
      <c r="CI162" s="2"/>
    </row>
    <row r="163" ht="12.0" customHeight="1">
      <c r="A163" s="6"/>
      <c r="B163" s="23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11"/>
      <c r="BY163" s="11"/>
      <c r="BZ163" s="11"/>
      <c r="CA163" s="11"/>
      <c r="CB163" s="11"/>
      <c r="CC163" s="11"/>
      <c r="CD163" s="11"/>
      <c r="CE163" s="11"/>
      <c r="CF163" s="11"/>
      <c r="CG163" s="2"/>
      <c r="CH163" s="2"/>
      <c r="CI163" s="2"/>
    </row>
    <row r="164" ht="12.0" customHeight="1">
      <c r="A164" s="6"/>
      <c r="B164" s="23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11"/>
      <c r="BY164" s="11"/>
      <c r="BZ164" s="11"/>
      <c r="CA164" s="11"/>
      <c r="CB164" s="11"/>
      <c r="CC164" s="11"/>
      <c r="CD164" s="11"/>
      <c r="CE164" s="11"/>
      <c r="CF164" s="11"/>
      <c r="CG164" s="2"/>
      <c r="CH164" s="2"/>
      <c r="CI164" s="2"/>
    </row>
    <row r="165" ht="12.0" customHeight="1">
      <c r="A165" s="6"/>
      <c r="B165" s="23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11"/>
      <c r="BY165" s="11"/>
      <c r="BZ165" s="11"/>
      <c r="CA165" s="11"/>
      <c r="CB165" s="11"/>
      <c r="CC165" s="11"/>
      <c r="CD165" s="11"/>
      <c r="CE165" s="11"/>
      <c r="CF165" s="11"/>
      <c r="CG165" s="2"/>
      <c r="CH165" s="2"/>
      <c r="CI165" s="2"/>
    </row>
    <row r="166" ht="12.0" customHeight="1">
      <c r="A166" s="6"/>
      <c r="B166" s="23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11"/>
      <c r="BY166" s="11"/>
      <c r="BZ166" s="11"/>
      <c r="CA166" s="11"/>
      <c r="CB166" s="11"/>
      <c r="CC166" s="11"/>
      <c r="CD166" s="11"/>
      <c r="CE166" s="11"/>
      <c r="CF166" s="11"/>
      <c r="CG166" s="2"/>
      <c r="CH166" s="2"/>
      <c r="CI166" s="2"/>
    </row>
    <row r="167" ht="12.0" customHeight="1">
      <c r="A167" s="6"/>
      <c r="B167" s="23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11"/>
      <c r="BY167" s="11"/>
      <c r="BZ167" s="11"/>
      <c r="CA167" s="11"/>
      <c r="CB167" s="11"/>
      <c r="CC167" s="11"/>
      <c r="CD167" s="11"/>
      <c r="CE167" s="11"/>
      <c r="CF167" s="11"/>
      <c r="CG167" s="2"/>
      <c r="CH167" s="2"/>
      <c r="CI167" s="2"/>
    </row>
    <row r="168" ht="12.0" customHeight="1">
      <c r="A168" s="6"/>
      <c r="B168" s="23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11"/>
      <c r="BY168" s="11"/>
      <c r="BZ168" s="11"/>
      <c r="CA168" s="11"/>
      <c r="CB168" s="11"/>
      <c r="CC168" s="11"/>
      <c r="CD168" s="11"/>
      <c r="CE168" s="11"/>
      <c r="CF168" s="11"/>
      <c r="CG168" s="2"/>
      <c r="CH168" s="2"/>
      <c r="CI168" s="2"/>
    </row>
    <row r="169" ht="12.0" customHeight="1">
      <c r="A169" s="6"/>
      <c r="B169" s="23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11"/>
      <c r="BY169" s="11"/>
      <c r="BZ169" s="11"/>
      <c r="CA169" s="11"/>
      <c r="CB169" s="11"/>
      <c r="CC169" s="11"/>
      <c r="CD169" s="11"/>
      <c r="CE169" s="11"/>
      <c r="CF169" s="11"/>
      <c r="CG169" s="2"/>
      <c r="CH169" s="2"/>
      <c r="CI169" s="2"/>
    </row>
    <row r="170" ht="12.0" customHeight="1">
      <c r="A170" s="6"/>
      <c r="B170" s="23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11"/>
      <c r="BY170" s="11"/>
      <c r="BZ170" s="11"/>
      <c r="CA170" s="11"/>
      <c r="CB170" s="11"/>
      <c r="CC170" s="11"/>
      <c r="CD170" s="11"/>
      <c r="CE170" s="11"/>
      <c r="CF170" s="11"/>
      <c r="CG170" s="2"/>
      <c r="CH170" s="2"/>
      <c r="CI170" s="2"/>
    </row>
    <row r="171" ht="12.0" customHeight="1">
      <c r="A171" s="6"/>
      <c r="B171" s="23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11"/>
      <c r="BY171" s="11"/>
      <c r="BZ171" s="11"/>
      <c r="CA171" s="11"/>
      <c r="CB171" s="11"/>
      <c r="CC171" s="11"/>
      <c r="CD171" s="11"/>
      <c r="CE171" s="11"/>
      <c r="CF171" s="11"/>
      <c r="CG171" s="2"/>
      <c r="CH171" s="2"/>
      <c r="CI171" s="2"/>
    </row>
    <row r="172" ht="12.0" customHeight="1">
      <c r="A172" s="6"/>
      <c r="B172" s="23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11"/>
      <c r="BY172" s="11"/>
      <c r="BZ172" s="11"/>
      <c r="CA172" s="11"/>
      <c r="CB172" s="11"/>
      <c r="CC172" s="11"/>
      <c r="CD172" s="11"/>
      <c r="CE172" s="11"/>
      <c r="CF172" s="11"/>
      <c r="CG172" s="2"/>
      <c r="CH172" s="2"/>
      <c r="CI172" s="2"/>
    </row>
    <row r="173" ht="12.0" customHeight="1">
      <c r="A173" s="6"/>
      <c r="B173" s="23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11"/>
      <c r="BY173" s="11"/>
      <c r="BZ173" s="11"/>
      <c r="CA173" s="11"/>
      <c r="CB173" s="11"/>
      <c r="CC173" s="11"/>
      <c r="CD173" s="11"/>
      <c r="CE173" s="11"/>
      <c r="CF173" s="11"/>
      <c r="CG173" s="2"/>
      <c r="CH173" s="2"/>
      <c r="CI173" s="2"/>
    </row>
    <row r="174" ht="12.0" customHeight="1">
      <c r="A174" s="6"/>
      <c r="B174" s="23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11"/>
      <c r="BY174" s="11"/>
      <c r="BZ174" s="11"/>
      <c r="CA174" s="11"/>
      <c r="CB174" s="11"/>
      <c r="CC174" s="11"/>
      <c r="CD174" s="11"/>
      <c r="CE174" s="11"/>
      <c r="CF174" s="11"/>
      <c r="CG174" s="2"/>
      <c r="CH174" s="2"/>
      <c r="CI174" s="2"/>
    </row>
    <row r="175" ht="12.0" customHeight="1">
      <c r="A175" s="6"/>
      <c r="B175" s="23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11"/>
      <c r="BY175" s="11"/>
      <c r="BZ175" s="11"/>
      <c r="CA175" s="11"/>
      <c r="CB175" s="11"/>
      <c r="CC175" s="11"/>
      <c r="CD175" s="11"/>
      <c r="CE175" s="11"/>
      <c r="CF175" s="11"/>
      <c r="CG175" s="2"/>
      <c r="CH175" s="2"/>
      <c r="CI175" s="2"/>
    </row>
    <row r="176" ht="12.0" customHeight="1">
      <c r="A176" s="6"/>
      <c r="B176" s="23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11"/>
      <c r="BY176" s="11"/>
      <c r="BZ176" s="11"/>
      <c r="CA176" s="11"/>
      <c r="CB176" s="11"/>
      <c r="CC176" s="11"/>
      <c r="CD176" s="11"/>
      <c r="CE176" s="11"/>
      <c r="CF176" s="11"/>
      <c r="CG176" s="2"/>
      <c r="CH176" s="2"/>
      <c r="CI176" s="2"/>
    </row>
    <row r="177" ht="12.0" customHeight="1">
      <c r="A177" s="6"/>
      <c r="B177" s="23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11"/>
      <c r="BY177" s="11"/>
      <c r="BZ177" s="11"/>
      <c r="CA177" s="11"/>
      <c r="CB177" s="11"/>
      <c r="CC177" s="11"/>
      <c r="CD177" s="11"/>
      <c r="CE177" s="11"/>
      <c r="CF177" s="11"/>
      <c r="CG177" s="2"/>
      <c r="CH177" s="2"/>
      <c r="CI177" s="2"/>
    </row>
    <row r="178" ht="12.0" customHeight="1">
      <c r="A178" s="6"/>
      <c r="B178" s="23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11"/>
      <c r="BY178" s="11"/>
      <c r="BZ178" s="11"/>
      <c r="CA178" s="11"/>
      <c r="CB178" s="11"/>
      <c r="CC178" s="11"/>
      <c r="CD178" s="11"/>
      <c r="CE178" s="11"/>
      <c r="CF178" s="11"/>
      <c r="CG178" s="2"/>
      <c r="CH178" s="2"/>
      <c r="CI178" s="2"/>
    </row>
    <row r="179" ht="12.0" customHeight="1">
      <c r="A179" s="6"/>
      <c r="B179" s="23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11"/>
      <c r="BY179" s="11"/>
      <c r="BZ179" s="11"/>
      <c r="CA179" s="11"/>
      <c r="CB179" s="11"/>
      <c r="CC179" s="11"/>
      <c r="CD179" s="11"/>
      <c r="CE179" s="11"/>
      <c r="CF179" s="11"/>
      <c r="CG179" s="2"/>
      <c r="CH179" s="2"/>
      <c r="CI179" s="2"/>
    </row>
    <row r="180" ht="12.0" customHeight="1">
      <c r="A180" s="6"/>
      <c r="B180" s="23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11"/>
      <c r="BY180" s="11"/>
      <c r="BZ180" s="11"/>
      <c r="CA180" s="11"/>
      <c r="CB180" s="11"/>
      <c r="CC180" s="11"/>
      <c r="CD180" s="11"/>
      <c r="CE180" s="11"/>
      <c r="CF180" s="11"/>
      <c r="CG180" s="2"/>
      <c r="CH180" s="2"/>
      <c r="CI180" s="2"/>
    </row>
    <row r="181" ht="12.0" customHeight="1">
      <c r="A181" s="6"/>
      <c r="B181" s="23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11"/>
      <c r="BY181" s="11"/>
      <c r="BZ181" s="11"/>
      <c r="CA181" s="11"/>
      <c r="CB181" s="11"/>
      <c r="CC181" s="11"/>
      <c r="CD181" s="11"/>
      <c r="CE181" s="11"/>
      <c r="CF181" s="11"/>
      <c r="CG181" s="2"/>
      <c r="CH181" s="2"/>
      <c r="CI181" s="2"/>
    </row>
    <row r="182" ht="12.0" customHeight="1">
      <c r="A182" s="6"/>
      <c r="B182" s="23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11"/>
      <c r="BY182" s="11"/>
      <c r="BZ182" s="11"/>
      <c r="CA182" s="11"/>
      <c r="CB182" s="11"/>
      <c r="CC182" s="11"/>
      <c r="CD182" s="11"/>
      <c r="CE182" s="11"/>
      <c r="CF182" s="11"/>
      <c r="CG182" s="2"/>
      <c r="CH182" s="2"/>
      <c r="CI182" s="2"/>
    </row>
    <row r="183" ht="12.0" customHeight="1">
      <c r="A183" s="6"/>
      <c r="B183" s="23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11"/>
      <c r="BY183" s="11"/>
      <c r="BZ183" s="11"/>
      <c r="CA183" s="11"/>
      <c r="CB183" s="11"/>
      <c r="CC183" s="11"/>
      <c r="CD183" s="11"/>
      <c r="CE183" s="11"/>
      <c r="CF183" s="11"/>
      <c r="CG183" s="2"/>
      <c r="CH183" s="2"/>
      <c r="CI183" s="2"/>
    </row>
    <row r="184" ht="12.0" customHeight="1">
      <c r="A184" s="6"/>
      <c r="B184" s="23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11"/>
      <c r="BY184" s="11"/>
      <c r="BZ184" s="11"/>
      <c r="CA184" s="11"/>
      <c r="CB184" s="11"/>
      <c r="CC184" s="11"/>
      <c r="CD184" s="11"/>
      <c r="CE184" s="11"/>
      <c r="CF184" s="11"/>
      <c r="CG184" s="2"/>
      <c r="CH184" s="2"/>
      <c r="CI184" s="2"/>
    </row>
    <row r="185" ht="12.0" customHeight="1">
      <c r="A185" s="6"/>
      <c r="B185" s="23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11"/>
      <c r="BY185" s="11"/>
      <c r="BZ185" s="11"/>
      <c r="CA185" s="11"/>
      <c r="CB185" s="11"/>
      <c r="CC185" s="11"/>
      <c r="CD185" s="11"/>
      <c r="CE185" s="11"/>
      <c r="CF185" s="11"/>
      <c r="CG185" s="2"/>
      <c r="CH185" s="2"/>
      <c r="CI185" s="2"/>
    </row>
    <row r="186" ht="12.0" customHeight="1">
      <c r="A186" s="6"/>
      <c r="B186" s="23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11"/>
      <c r="BY186" s="11"/>
      <c r="BZ186" s="11"/>
      <c r="CA186" s="11"/>
      <c r="CB186" s="11"/>
      <c r="CC186" s="11"/>
      <c r="CD186" s="11"/>
      <c r="CE186" s="11"/>
      <c r="CF186" s="11"/>
      <c r="CG186" s="2"/>
      <c r="CH186" s="2"/>
      <c r="CI186" s="2"/>
    </row>
    <row r="187" ht="12.0" customHeight="1">
      <c r="A187" s="6"/>
      <c r="B187" s="23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11"/>
      <c r="BY187" s="11"/>
      <c r="BZ187" s="11"/>
      <c r="CA187" s="11"/>
      <c r="CB187" s="11"/>
      <c r="CC187" s="11"/>
      <c r="CD187" s="11"/>
      <c r="CE187" s="11"/>
      <c r="CF187" s="11"/>
      <c r="CG187" s="2"/>
      <c r="CH187" s="2"/>
      <c r="CI187" s="2"/>
    </row>
    <row r="188" ht="12.0" customHeight="1">
      <c r="A188" s="6"/>
      <c r="B188" s="23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11"/>
      <c r="BY188" s="11"/>
      <c r="BZ188" s="11"/>
      <c r="CA188" s="11"/>
      <c r="CB188" s="11"/>
      <c r="CC188" s="11"/>
      <c r="CD188" s="11"/>
      <c r="CE188" s="11"/>
      <c r="CF188" s="11"/>
      <c r="CG188" s="2"/>
      <c r="CH188" s="2"/>
      <c r="CI188" s="2"/>
    </row>
    <row r="189" ht="12.0" customHeight="1">
      <c r="A189" s="6"/>
      <c r="B189" s="23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11"/>
      <c r="BY189" s="11"/>
      <c r="BZ189" s="11"/>
      <c r="CA189" s="11"/>
      <c r="CB189" s="11"/>
      <c r="CC189" s="11"/>
      <c r="CD189" s="11"/>
      <c r="CE189" s="11"/>
      <c r="CF189" s="11"/>
      <c r="CG189" s="2"/>
      <c r="CH189" s="2"/>
      <c r="CI189" s="2"/>
    </row>
    <row r="190" ht="12.0" customHeight="1">
      <c r="A190" s="6"/>
      <c r="B190" s="23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2"/>
      <c r="CH190" s="2"/>
      <c r="CI190" s="2"/>
    </row>
    <row r="191" ht="12.0" customHeight="1">
      <c r="A191" s="6"/>
      <c r="B191" s="23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2"/>
      <c r="CH191" s="2"/>
      <c r="CI191" s="2"/>
    </row>
    <row r="192" ht="12.0" customHeight="1">
      <c r="A192" s="6"/>
      <c r="B192" s="23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2"/>
      <c r="CH192" s="2"/>
      <c r="CI192" s="2"/>
    </row>
    <row r="193" ht="12.0" customHeight="1">
      <c r="A193" s="6"/>
      <c r="B193" s="23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2"/>
      <c r="CH193" s="2"/>
      <c r="CI193" s="2"/>
    </row>
    <row r="194" ht="12.0" customHeight="1">
      <c r="A194" s="6"/>
      <c r="B194" s="23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2"/>
      <c r="CH194" s="2"/>
      <c r="CI194" s="2"/>
    </row>
    <row r="195" ht="12.0" customHeight="1">
      <c r="A195" s="6"/>
      <c r="B195" s="23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2"/>
      <c r="CH195" s="2"/>
      <c r="CI195" s="2"/>
    </row>
    <row r="196" ht="12.0" customHeight="1">
      <c r="A196" s="6"/>
      <c r="B196" s="23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2"/>
      <c r="CH196" s="2"/>
      <c r="CI196" s="2"/>
    </row>
    <row r="197" ht="12.0" customHeight="1">
      <c r="A197" s="6"/>
      <c r="B197" s="23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2"/>
      <c r="CH197" s="2"/>
      <c r="CI197" s="2"/>
    </row>
    <row r="198" ht="12.0" customHeight="1">
      <c r="A198" s="6"/>
      <c r="B198" s="23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2"/>
      <c r="CH198" s="2"/>
      <c r="CI198" s="2"/>
    </row>
    <row r="199" ht="12.0" customHeight="1">
      <c r="A199" s="6"/>
      <c r="B199" s="23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2"/>
      <c r="CH199" s="2"/>
      <c r="CI199" s="2"/>
    </row>
    <row r="200" ht="12.0" customHeight="1">
      <c r="A200" s="6"/>
      <c r="B200" s="23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2"/>
      <c r="CH200" s="2"/>
      <c r="CI200" s="2"/>
    </row>
    <row r="201" ht="12.0" customHeight="1">
      <c r="A201" s="6"/>
      <c r="B201" s="23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2"/>
      <c r="CH201" s="2"/>
      <c r="CI201" s="2"/>
    </row>
    <row r="202" ht="12.0" customHeight="1">
      <c r="A202" s="6"/>
      <c r="B202" s="23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2"/>
      <c r="CH202" s="2"/>
      <c r="CI202" s="2"/>
    </row>
    <row r="203" ht="12.0" customHeight="1">
      <c r="A203" s="6"/>
      <c r="B203" s="23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2"/>
      <c r="CH203" s="2"/>
      <c r="CI203" s="2"/>
    </row>
    <row r="204" ht="12.0" customHeight="1">
      <c r="A204" s="6"/>
      <c r="B204" s="23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2"/>
      <c r="CH204" s="2"/>
      <c r="CI204" s="2"/>
    </row>
    <row r="205" ht="12.0" customHeight="1">
      <c r="A205" s="6"/>
      <c r="B205" s="23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2"/>
      <c r="CH205" s="2"/>
      <c r="CI205" s="2"/>
    </row>
    <row r="206" ht="12.0" customHeight="1">
      <c r="A206" s="6"/>
      <c r="B206" s="23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2"/>
      <c r="CH206" s="2"/>
      <c r="CI206" s="2"/>
    </row>
    <row r="207" ht="12.0" customHeight="1">
      <c r="A207" s="6"/>
      <c r="B207" s="23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2"/>
      <c r="CH207" s="2"/>
      <c r="CI207" s="2"/>
    </row>
    <row r="208" ht="12.0" customHeight="1">
      <c r="A208" s="6"/>
      <c r="B208" s="23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2"/>
      <c r="CH208" s="2"/>
      <c r="CI208" s="2"/>
    </row>
    <row r="209" ht="12.0" customHeight="1">
      <c r="A209" s="6"/>
      <c r="B209" s="23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2"/>
      <c r="CH209" s="2"/>
      <c r="CI209" s="2"/>
    </row>
    <row r="210" ht="12.0" customHeight="1">
      <c r="A210" s="6"/>
      <c r="B210" s="23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2"/>
      <c r="CH210" s="2"/>
      <c r="CI210" s="2"/>
    </row>
    <row r="211" ht="12.0" customHeight="1">
      <c r="A211" s="6"/>
      <c r="B211" s="23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2"/>
      <c r="CH211" s="2"/>
      <c r="CI211" s="2"/>
    </row>
    <row r="212" ht="12.0" customHeight="1">
      <c r="A212" s="6"/>
      <c r="B212" s="23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2"/>
      <c r="CH212" s="2"/>
      <c r="CI212" s="2"/>
    </row>
    <row r="213" ht="12.0" customHeight="1">
      <c r="A213" s="6"/>
      <c r="B213" s="23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2"/>
      <c r="CH213" s="2"/>
      <c r="CI213" s="2"/>
    </row>
    <row r="214" ht="12.0" customHeight="1">
      <c r="A214" s="6"/>
      <c r="B214" s="23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2"/>
      <c r="CH214" s="2"/>
      <c r="CI214" s="2"/>
    </row>
    <row r="215" ht="12.0" customHeight="1">
      <c r="A215" s="6"/>
      <c r="B215" s="23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2"/>
      <c r="CH215" s="2"/>
      <c r="CI215" s="2"/>
    </row>
    <row r="216" ht="12.0" customHeight="1">
      <c r="A216" s="6"/>
      <c r="B216" s="23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2"/>
      <c r="CH216" s="2"/>
      <c r="CI216" s="2"/>
    </row>
    <row r="217" ht="12.0" customHeight="1">
      <c r="A217" s="6"/>
      <c r="B217" s="23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2"/>
      <c r="CH217" s="2"/>
      <c r="CI217" s="2"/>
    </row>
    <row r="218" ht="12.0" customHeight="1">
      <c r="A218" s="6"/>
      <c r="B218" s="23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2"/>
      <c r="CH218" s="2"/>
      <c r="CI218" s="2"/>
    </row>
    <row r="219" ht="12.0" customHeight="1">
      <c r="A219" s="6"/>
      <c r="B219" s="23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2"/>
      <c r="CH219" s="2"/>
      <c r="CI219" s="2"/>
    </row>
    <row r="220" ht="12.0" customHeight="1">
      <c r="A220" s="6"/>
      <c r="B220" s="23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2"/>
      <c r="CH220" s="2"/>
      <c r="CI220" s="2"/>
    </row>
    <row r="221" ht="12.0" customHeight="1">
      <c r="A221" s="6"/>
      <c r="B221" s="23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2"/>
      <c r="CH221" s="2"/>
      <c r="CI221" s="2"/>
    </row>
    <row r="222" ht="12.0" customHeight="1">
      <c r="A222" s="6"/>
      <c r="B222" s="23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2"/>
      <c r="CH222" s="2"/>
      <c r="CI222" s="2"/>
    </row>
    <row r="223" ht="12.0" customHeight="1">
      <c r="A223" s="6"/>
      <c r="B223" s="23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2"/>
      <c r="CH223" s="2"/>
      <c r="CI223" s="2"/>
    </row>
    <row r="224" ht="12.0" customHeight="1">
      <c r="A224" s="6"/>
      <c r="B224" s="23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2"/>
      <c r="CH224" s="2"/>
      <c r="CI224" s="2"/>
    </row>
    <row r="225" ht="12.0" customHeight="1">
      <c r="A225" s="6"/>
      <c r="B225" s="23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2"/>
      <c r="CH225" s="2"/>
      <c r="CI225" s="2"/>
    </row>
    <row r="226" ht="12.0" customHeight="1">
      <c r="A226" s="6"/>
      <c r="B226" s="23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2"/>
      <c r="CH226" s="2"/>
      <c r="CI226" s="2"/>
    </row>
    <row r="227" ht="12.0" customHeight="1">
      <c r="A227" s="6"/>
      <c r="B227" s="23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2"/>
      <c r="CH227" s="2"/>
      <c r="CI227" s="2"/>
    </row>
    <row r="228" ht="12.0" customHeight="1">
      <c r="A228" s="6"/>
      <c r="B228" s="23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2"/>
      <c r="CH228" s="2"/>
      <c r="CI228" s="2"/>
    </row>
    <row r="229" ht="12.0" customHeight="1">
      <c r="A229" s="6"/>
      <c r="B229" s="23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2"/>
      <c r="CH229" s="2"/>
      <c r="CI229" s="2"/>
    </row>
    <row r="230" ht="12.0" customHeight="1">
      <c r="A230" s="6"/>
      <c r="B230" s="23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2"/>
      <c r="CH230" s="2"/>
      <c r="CI230" s="2"/>
    </row>
    <row r="231" ht="12.0" customHeight="1">
      <c r="A231" s="6"/>
      <c r="B231" s="23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2"/>
      <c r="CH231" s="2"/>
      <c r="CI231" s="2"/>
    </row>
    <row r="232" ht="12.0" customHeight="1">
      <c r="A232" s="6"/>
      <c r="B232" s="23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2"/>
      <c r="CH232" s="2"/>
      <c r="CI232" s="2"/>
    </row>
    <row r="233" ht="12.0" customHeight="1">
      <c r="A233" s="6"/>
      <c r="B233" s="23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2"/>
      <c r="CH233" s="2"/>
      <c r="CI233" s="2"/>
    </row>
    <row r="234" ht="12.0" customHeight="1">
      <c r="A234" s="6"/>
      <c r="B234" s="23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2"/>
      <c r="CH234" s="2"/>
      <c r="CI234" s="2"/>
    </row>
    <row r="235" ht="12.0" customHeight="1">
      <c r="A235" s="6"/>
      <c r="B235" s="23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2"/>
      <c r="CH235" s="2"/>
      <c r="CI235" s="2"/>
    </row>
    <row r="236" ht="12.0" customHeight="1">
      <c r="A236" s="6"/>
      <c r="B236" s="23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2"/>
      <c r="CH236" s="2"/>
      <c r="CI236" s="2"/>
    </row>
    <row r="237" ht="12.0" customHeight="1">
      <c r="A237" s="6"/>
      <c r="B237" s="23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2"/>
      <c r="CH237" s="2"/>
      <c r="CI237" s="2"/>
    </row>
    <row r="238" ht="12.0" customHeight="1">
      <c r="A238" s="6"/>
      <c r="B238" s="23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2"/>
      <c r="CH238" s="2"/>
      <c r="CI238" s="2"/>
    </row>
    <row r="239" ht="12.0" customHeight="1">
      <c r="A239" s="6"/>
      <c r="B239" s="23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2"/>
      <c r="CH239" s="2"/>
      <c r="CI239" s="2"/>
    </row>
    <row r="240" ht="12.0" customHeight="1">
      <c r="A240" s="6"/>
      <c r="B240" s="23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2"/>
      <c r="CH240" s="2"/>
      <c r="CI240" s="2"/>
    </row>
    <row r="241" ht="12.0" customHeight="1">
      <c r="A241" s="6"/>
      <c r="B241" s="23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2"/>
      <c r="CH241" s="2"/>
      <c r="CI241" s="2"/>
    </row>
    <row r="242" ht="12.0" customHeight="1">
      <c r="A242" s="6"/>
      <c r="B242" s="23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2"/>
      <c r="CH242" s="2"/>
      <c r="CI242" s="2"/>
    </row>
    <row r="243" ht="12.0" customHeight="1">
      <c r="A243" s="6"/>
      <c r="B243" s="23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2"/>
      <c r="CH243" s="2"/>
      <c r="CI243" s="2"/>
    </row>
    <row r="244" ht="12.0" customHeight="1">
      <c r="A244" s="6"/>
      <c r="B244" s="23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2"/>
      <c r="CH244" s="2"/>
      <c r="CI244" s="2"/>
    </row>
    <row r="245" ht="12.0" customHeight="1">
      <c r="A245" s="6"/>
      <c r="B245" s="23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2"/>
      <c r="CH245" s="2"/>
      <c r="CI245" s="2"/>
    </row>
    <row r="246" ht="12.0" customHeight="1">
      <c r="A246" s="6"/>
      <c r="B246" s="23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2"/>
      <c r="CH246" s="2"/>
      <c r="CI246" s="2"/>
    </row>
    <row r="247" ht="12.0" customHeight="1">
      <c r="A247" s="6"/>
      <c r="B247" s="23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2"/>
      <c r="CH247" s="2"/>
      <c r="CI247" s="2"/>
    </row>
    <row r="248" ht="12.0" customHeight="1">
      <c r="A248" s="6"/>
      <c r="B248" s="23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2"/>
      <c r="CH248" s="2"/>
      <c r="CI248" s="2"/>
    </row>
    <row r="249" ht="12.0" customHeight="1">
      <c r="A249" s="6"/>
      <c r="B249" s="23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2"/>
      <c r="CH249" s="2"/>
      <c r="CI249" s="2"/>
    </row>
    <row r="250" ht="12.0" customHeight="1">
      <c r="A250" s="6"/>
      <c r="B250" s="23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2"/>
      <c r="CH250" s="2"/>
      <c r="CI250" s="2"/>
    </row>
    <row r="251" ht="12.0" customHeight="1">
      <c r="A251" s="6"/>
      <c r="B251" s="23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2"/>
      <c r="CH251" s="2"/>
      <c r="CI251" s="2"/>
    </row>
    <row r="252" ht="12.0" customHeight="1">
      <c r="A252" s="6"/>
      <c r="B252" s="23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2"/>
      <c r="CH252" s="2"/>
      <c r="CI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</row>
  </sheetData>
  <mergeCells count="37">
    <mergeCell ref="BY6:BZ6"/>
    <mergeCell ref="CA6:CB6"/>
    <mergeCell ref="BE4:BL4"/>
    <mergeCell ref="BN4:BU4"/>
    <mergeCell ref="BW4:CD4"/>
    <mergeCell ref="BG6:BH6"/>
    <mergeCell ref="BI6:BJ6"/>
    <mergeCell ref="BK6:BL6"/>
    <mergeCell ref="BP6:BQ6"/>
    <mergeCell ref="CC6:CD6"/>
    <mergeCell ref="BR6:BS6"/>
    <mergeCell ref="BT6:BU6"/>
    <mergeCell ref="A11:A15"/>
    <mergeCell ref="BG15:BH15"/>
    <mergeCell ref="BI15:BJ15"/>
    <mergeCell ref="BK15:BL15"/>
    <mergeCell ref="BP15:BQ15"/>
    <mergeCell ref="BR15:BS15"/>
    <mergeCell ref="BT15:BU15"/>
    <mergeCell ref="CC15:CD15"/>
    <mergeCell ref="BG23:BH23"/>
    <mergeCell ref="BI23:BJ23"/>
    <mergeCell ref="BK23:BL23"/>
    <mergeCell ref="BP23:BQ23"/>
    <mergeCell ref="CC23:CD23"/>
    <mergeCell ref="BR32:BS32"/>
    <mergeCell ref="BT32:BU32"/>
    <mergeCell ref="CC32:CD32"/>
    <mergeCell ref="A38:A43"/>
    <mergeCell ref="A44:A48"/>
    <mergeCell ref="BR23:BS23"/>
    <mergeCell ref="BT23:BU23"/>
    <mergeCell ref="A28:A32"/>
    <mergeCell ref="BG32:BH32"/>
    <mergeCell ref="BI32:BJ32"/>
    <mergeCell ref="BK32:BL32"/>
    <mergeCell ref="BP32:BQ32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0"/>
  <cols>
    <col customWidth="1" min="1" max="1" width="4.57"/>
    <col customWidth="1" min="2" max="2" width="28.71"/>
    <col customWidth="1" min="3" max="14" width="10.0"/>
    <col customWidth="1" min="15" max="15" width="20.29"/>
    <col customWidth="1" min="16" max="26" width="10.0"/>
    <col customWidth="1" min="27" max="40" width="10.57"/>
    <col customWidth="1" min="41" max="41" width="10.0"/>
    <col customWidth="1" min="42" max="42" width="10.43"/>
    <col customWidth="1" min="43" max="43" width="9.57"/>
    <col customWidth="1" min="44" max="44" width="10.43"/>
    <col customWidth="1" min="45" max="45" width="9.43"/>
    <col customWidth="1" min="46" max="46" width="10.0"/>
    <col customWidth="1" min="47" max="47" width="9.0"/>
    <col customWidth="1" min="48" max="48" width="9.86"/>
    <col customWidth="1" min="49" max="49" width="8.43"/>
    <col customWidth="1" min="50" max="50" width="9.43"/>
    <col customWidth="1" min="51" max="51" width="12.14"/>
    <col customWidth="1" min="52" max="52" width="11.0"/>
    <col customWidth="1" min="53" max="54" width="9.86"/>
    <col customWidth="1" min="55" max="56" width="7.0"/>
    <col customWidth="1" min="57" max="57" width="30.29"/>
    <col customWidth="1" min="58" max="63" width="7.86"/>
    <col customWidth="1" min="64" max="64" width="5.86"/>
    <col customWidth="1" hidden="1" min="65" max="65" width="4.14"/>
    <col customWidth="1" hidden="1" min="66" max="66" width="29.14"/>
    <col customWidth="1" hidden="1" min="67" max="67" width="6.57"/>
    <col customWidth="1" hidden="1" min="68" max="68" width="5.14"/>
    <col customWidth="1" hidden="1" min="69" max="69" width="5.86"/>
    <col customWidth="1" hidden="1" min="70" max="70" width="6.57"/>
    <col customWidth="1" hidden="1" min="71" max="71" width="5.86"/>
    <col customWidth="1" hidden="1" min="72" max="72" width="7.86"/>
    <col customWidth="1" hidden="1" min="73" max="73" width="5.86"/>
    <col customWidth="1" hidden="1" min="74" max="74" width="4.14"/>
    <col customWidth="1" hidden="1" min="75" max="75" width="25.86"/>
    <col customWidth="1" hidden="1" min="76" max="79" width="7.86"/>
    <col customWidth="1" hidden="1" min="80" max="80" width="7.0"/>
    <col customWidth="1" hidden="1" min="81" max="81" width="7.86"/>
    <col customWidth="1" hidden="1" min="82" max="82" width="5.86"/>
    <col customWidth="1" hidden="1" min="83" max="83" width="4.14"/>
    <col customWidth="1" min="84" max="85" width="4.14"/>
    <col customWidth="1" min="86" max="86" width="7.86"/>
    <col customWidth="1" min="87" max="113" width="4.14"/>
    <col customWidth="1" min="114" max="114" width="32.14"/>
    <col customWidth="1" min="115" max="115" width="9.57"/>
    <col customWidth="1" min="116" max="116" width="9.14"/>
    <col customWidth="1" min="117" max="118" width="7.86"/>
    <col customWidth="1" min="119" max="121" width="8.71"/>
    <col customWidth="1" min="122" max="124" width="14.43"/>
  </cols>
  <sheetData>
    <row r="1" ht="12.0" customHeight="1">
      <c r="A1" s="1"/>
      <c r="B1" s="99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38" t="s">
        <v>136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99"/>
      <c r="CE1" s="99"/>
      <c r="CF1" s="99"/>
      <c r="CG1" s="99"/>
      <c r="CH1" s="99"/>
      <c r="CI1" s="99"/>
      <c r="CJ1" s="99"/>
      <c r="CK1" s="99"/>
      <c r="CL1" s="99"/>
      <c r="CM1" s="99"/>
      <c r="CN1" s="99"/>
      <c r="CO1" s="99"/>
      <c r="CP1" s="99"/>
      <c r="CQ1" s="99"/>
      <c r="CR1" s="99"/>
      <c r="CS1" s="99"/>
      <c r="CT1" s="99"/>
      <c r="CU1" s="99"/>
      <c r="CV1" s="99"/>
      <c r="CW1" s="99"/>
      <c r="CX1" s="99"/>
      <c r="CY1" s="99"/>
      <c r="CZ1" s="99"/>
      <c r="DA1" s="99"/>
      <c r="DB1" s="99"/>
      <c r="DC1" s="99"/>
      <c r="DD1" s="99"/>
      <c r="DE1" s="99"/>
      <c r="DF1" s="99"/>
      <c r="DG1" s="99"/>
      <c r="DH1" s="99"/>
      <c r="DI1" s="99"/>
      <c r="DJ1" s="139"/>
      <c r="DK1" s="99"/>
      <c r="DL1" s="99"/>
      <c r="DM1" s="99"/>
      <c r="DN1" s="99"/>
      <c r="DO1" s="99"/>
      <c r="DP1" s="99"/>
      <c r="DQ1" s="99"/>
    </row>
    <row r="2" ht="12.0" customHeight="1">
      <c r="A2" s="6"/>
      <c r="B2" s="7" t="s">
        <v>137</v>
      </c>
      <c r="C2" s="8">
        <v>2103964.0</v>
      </c>
      <c r="D2" s="8">
        <v>3346611.0</v>
      </c>
      <c r="E2" s="8">
        <v>4904979.0</v>
      </c>
      <c r="F2" s="8">
        <v>4993861.0</v>
      </c>
      <c r="G2" s="8">
        <v>3778853.0</v>
      </c>
      <c r="H2" s="8">
        <v>4454052.0</v>
      </c>
      <c r="I2" s="8">
        <v>4198426.0</v>
      </c>
      <c r="J2" s="8">
        <v>4393682.0</v>
      </c>
      <c r="K2" s="8">
        <v>3104391.0</v>
      </c>
      <c r="L2" s="8">
        <v>1608910.0</v>
      </c>
      <c r="M2" s="8">
        <v>1528888.0</v>
      </c>
      <c r="N2" s="8">
        <v>2522158.0</v>
      </c>
      <c r="O2" s="8">
        <f t="shared" ref="O2:O3" si="1">AVERAGE(C2:N2)</f>
        <v>3411564.583</v>
      </c>
      <c r="P2" s="8">
        <v>1051003.0</v>
      </c>
      <c r="Q2" s="8">
        <v>778889.0</v>
      </c>
      <c r="R2" s="8">
        <v>1658479.0</v>
      </c>
      <c r="S2" s="8">
        <v>2048876.0</v>
      </c>
      <c r="T2" s="8">
        <v>1584582.0</v>
      </c>
      <c r="U2" s="8">
        <v>1272039.0</v>
      </c>
      <c r="V2" s="8">
        <v>4784144.0</v>
      </c>
      <c r="W2" s="8">
        <v>1633882.0</v>
      </c>
      <c r="X2" s="8">
        <v>1813306.0</v>
      </c>
      <c r="Y2" s="8">
        <v>1963072.0</v>
      </c>
      <c r="Z2" s="8">
        <v>1979980.0</v>
      </c>
      <c r="AA2" s="8">
        <v>2105529.0</v>
      </c>
      <c r="AB2" s="8">
        <f t="shared" ref="AB2:AB4" si="2">AVERAGE(P2:AA2)</f>
        <v>1889481.75</v>
      </c>
      <c r="AC2" s="8">
        <v>2067944.0</v>
      </c>
      <c r="AD2" s="8">
        <v>1889905.0</v>
      </c>
      <c r="AE2" s="8">
        <v>1937752.0</v>
      </c>
      <c r="AF2" s="8">
        <v>1925179.0</v>
      </c>
      <c r="AG2" s="8">
        <v>2065949.0</v>
      </c>
      <c r="AH2" s="8">
        <v>1987332.0</v>
      </c>
      <c r="AI2" s="8">
        <v>1947293.0</v>
      </c>
      <c r="AJ2" s="8">
        <v>1877716.0</v>
      </c>
      <c r="AK2" s="8">
        <v>1849847.0</v>
      </c>
      <c r="AL2" s="8">
        <v>1974198.0</v>
      </c>
      <c r="AM2" s="8">
        <v>1944733.0</v>
      </c>
      <c r="AN2" s="8">
        <v>2002211.0</v>
      </c>
      <c r="AO2" s="8">
        <f t="shared" ref="AO2:AO3" si="3">SUM(AC2:AN2)</f>
        <v>23470059</v>
      </c>
      <c r="AP2" s="140">
        <v>2003734.0</v>
      </c>
      <c r="AQ2" s="140">
        <v>1779544.0</v>
      </c>
      <c r="AR2" s="140">
        <v>1972397.0</v>
      </c>
      <c r="AS2" s="140">
        <v>1999289.0</v>
      </c>
      <c r="AT2" s="140">
        <v>2109770.0</v>
      </c>
      <c r="AU2" s="140">
        <v>1896111.0</v>
      </c>
      <c r="AV2" s="140"/>
      <c r="AW2" s="140"/>
      <c r="AX2" s="140"/>
      <c r="AY2" s="140"/>
      <c r="AZ2" s="140"/>
      <c r="BA2" s="140"/>
      <c r="BB2" s="10">
        <f t="shared" ref="BB2:BB3" si="4">SUM(AP2:BA2)</f>
        <v>11760845</v>
      </c>
      <c r="BC2" s="141"/>
      <c r="BD2" s="141"/>
      <c r="BE2" s="141"/>
      <c r="BF2" s="141"/>
      <c r="BG2" s="141"/>
      <c r="BH2" s="141"/>
      <c r="BI2" s="141"/>
      <c r="BJ2" s="141"/>
      <c r="BK2" s="141"/>
      <c r="BL2" s="141"/>
      <c r="BM2" s="141"/>
      <c r="BN2" s="141"/>
      <c r="BO2" s="141"/>
      <c r="BP2" s="141"/>
      <c r="BQ2" s="141"/>
      <c r="BR2" s="141"/>
      <c r="BS2" s="141"/>
      <c r="BT2" s="141"/>
      <c r="BU2" s="141"/>
      <c r="BV2" s="141"/>
      <c r="BW2" s="141"/>
      <c r="BX2" s="141"/>
      <c r="BY2" s="141"/>
      <c r="BZ2" s="141"/>
      <c r="CA2" s="141"/>
      <c r="CB2" s="141"/>
      <c r="CC2" s="141"/>
      <c r="CD2" s="141"/>
      <c r="CE2" s="141"/>
      <c r="CF2" s="141"/>
      <c r="CG2" s="141"/>
      <c r="CH2" s="141"/>
      <c r="CI2" s="141"/>
      <c r="CJ2" s="141"/>
      <c r="CK2" s="141"/>
      <c r="CL2" s="141"/>
      <c r="CM2" s="141"/>
      <c r="CN2" s="141"/>
      <c r="CO2" s="141"/>
      <c r="CP2" s="141"/>
      <c r="CQ2" s="141"/>
      <c r="CR2" s="141"/>
      <c r="CS2" s="141"/>
      <c r="CT2" s="141"/>
      <c r="CU2" s="141"/>
      <c r="CV2" s="141"/>
      <c r="CW2" s="141"/>
      <c r="CX2" s="141"/>
      <c r="CY2" s="141"/>
      <c r="CZ2" s="141"/>
      <c r="DA2" s="141"/>
      <c r="DB2" s="141"/>
      <c r="DC2" s="141"/>
      <c r="DD2" s="141"/>
      <c r="DE2" s="141"/>
      <c r="DF2" s="141"/>
      <c r="DG2" s="141"/>
      <c r="DH2" s="141"/>
      <c r="DI2" s="141"/>
      <c r="DJ2" s="142"/>
      <c r="DK2" s="143">
        <v>0.21</v>
      </c>
      <c r="DL2" s="144"/>
      <c r="DM2" s="4"/>
      <c r="DN2" s="4"/>
      <c r="DO2" s="4"/>
      <c r="DP2" s="4"/>
      <c r="DQ2" s="4"/>
    </row>
    <row r="3" ht="12.0" customHeight="1">
      <c r="A3" s="6"/>
      <c r="B3" s="12" t="s">
        <v>2</v>
      </c>
      <c r="C3" s="13">
        <v>782590.0</v>
      </c>
      <c r="D3" s="13">
        <v>1283864.0</v>
      </c>
      <c r="E3" s="13">
        <v>1827928.0</v>
      </c>
      <c r="F3" s="13">
        <v>1934665.0</v>
      </c>
      <c r="G3" s="13">
        <v>1426133.0</v>
      </c>
      <c r="H3" s="13">
        <v>1818005.0</v>
      </c>
      <c r="I3" s="13">
        <v>1507940.0</v>
      </c>
      <c r="J3" s="13">
        <v>1785752.0</v>
      </c>
      <c r="K3" s="13">
        <v>1457480.0</v>
      </c>
      <c r="L3" s="13">
        <v>735072.0</v>
      </c>
      <c r="M3" s="13">
        <v>617138.0</v>
      </c>
      <c r="N3" s="13">
        <v>1149077.0</v>
      </c>
      <c r="O3" s="13">
        <f t="shared" si="1"/>
        <v>1360470.333</v>
      </c>
      <c r="P3" s="13">
        <v>505719.0</v>
      </c>
      <c r="Q3" s="13">
        <v>474013.0</v>
      </c>
      <c r="R3" s="13">
        <v>680437.0</v>
      </c>
      <c r="S3" s="13">
        <v>800389.0</v>
      </c>
      <c r="T3" s="13">
        <v>671912.0</v>
      </c>
      <c r="U3" s="13">
        <v>659255.0</v>
      </c>
      <c r="V3" s="13">
        <v>2184490.0</v>
      </c>
      <c r="W3" s="13">
        <v>1128649.0</v>
      </c>
      <c r="X3" s="13">
        <v>1388129.0</v>
      </c>
      <c r="Y3" s="13">
        <v>1454345.0</v>
      </c>
      <c r="Z3" s="13">
        <v>1569455.0</v>
      </c>
      <c r="AA3" s="13">
        <v>1379780.0</v>
      </c>
      <c r="AB3" s="13">
        <f t="shared" si="2"/>
        <v>1074714.417</v>
      </c>
      <c r="AC3" s="13">
        <v>1690496.0</v>
      </c>
      <c r="AD3" s="13">
        <v>1630992.0</v>
      </c>
      <c r="AE3" s="13">
        <v>1647487.0</v>
      </c>
      <c r="AF3" s="13">
        <v>1500470.0</v>
      </c>
      <c r="AG3" s="13">
        <v>1674670.0</v>
      </c>
      <c r="AH3" s="13">
        <v>1643165.0</v>
      </c>
      <c r="AI3" s="13">
        <v>1576093.0</v>
      </c>
      <c r="AJ3" s="13">
        <v>1532389.0</v>
      </c>
      <c r="AK3" s="13">
        <v>1534930.0</v>
      </c>
      <c r="AL3" s="13">
        <v>1479822.0</v>
      </c>
      <c r="AM3" s="13">
        <v>1626012.0</v>
      </c>
      <c r="AN3" s="13">
        <v>1813615.0</v>
      </c>
      <c r="AO3" s="13">
        <f t="shared" si="3"/>
        <v>19350141</v>
      </c>
      <c r="AP3" s="145">
        <v>1876601.0</v>
      </c>
      <c r="AQ3" s="145">
        <v>1630776.0</v>
      </c>
      <c r="AR3" s="145">
        <v>1775471.0</v>
      </c>
      <c r="AS3" s="145">
        <v>1759363.0</v>
      </c>
      <c r="AT3" s="145">
        <v>1898317.0</v>
      </c>
      <c r="AU3" s="145">
        <v>1618914.0</v>
      </c>
      <c r="AV3" s="145"/>
      <c r="AW3" s="145"/>
      <c r="AX3" s="145"/>
      <c r="AY3" s="145"/>
      <c r="AZ3" s="145"/>
      <c r="BA3" s="145"/>
      <c r="BB3" s="15">
        <f t="shared" si="4"/>
        <v>10559442</v>
      </c>
      <c r="BC3" s="141"/>
      <c r="BD3" s="141"/>
      <c r="BE3" s="141"/>
      <c r="BF3" s="141"/>
      <c r="BG3" s="141"/>
      <c r="BH3" s="141"/>
      <c r="BI3" s="141"/>
      <c r="BJ3" s="141"/>
      <c r="BK3" s="141"/>
      <c r="BL3" s="141"/>
      <c r="BM3" s="141"/>
      <c r="BN3" s="141"/>
      <c r="BO3" s="141"/>
      <c r="BP3" s="141"/>
      <c r="BQ3" s="141"/>
      <c r="BR3" s="141"/>
      <c r="BS3" s="141"/>
      <c r="BT3" s="141"/>
      <c r="BU3" s="141"/>
      <c r="BV3" s="141"/>
      <c r="BW3" s="141"/>
      <c r="BX3" s="141"/>
      <c r="BY3" s="141"/>
      <c r="BZ3" s="141"/>
      <c r="CA3" s="141"/>
      <c r="CB3" s="141"/>
      <c r="CC3" s="141"/>
      <c r="CD3" s="141"/>
      <c r="CE3" s="141"/>
      <c r="CF3" s="141"/>
      <c r="CG3" s="141"/>
      <c r="CH3" s="141"/>
      <c r="CI3" s="141"/>
      <c r="CJ3" s="141"/>
      <c r="CK3" s="141"/>
      <c r="CL3" s="141"/>
      <c r="CM3" s="141"/>
      <c r="CN3" s="141"/>
      <c r="CO3" s="141"/>
      <c r="CP3" s="141"/>
      <c r="CQ3" s="141"/>
      <c r="CR3" s="141"/>
      <c r="CS3" s="141"/>
      <c r="CT3" s="141"/>
      <c r="CU3" s="141"/>
      <c r="CV3" s="141"/>
      <c r="CW3" s="141"/>
      <c r="CX3" s="141"/>
      <c r="CY3" s="141"/>
      <c r="CZ3" s="141"/>
      <c r="DA3" s="141"/>
      <c r="DB3" s="141"/>
      <c r="DC3" s="141"/>
      <c r="DD3" s="141"/>
      <c r="DE3" s="141"/>
      <c r="DF3" s="141"/>
      <c r="DG3" s="141"/>
      <c r="DH3" s="141"/>
      <c r="DI3" s="141"/>
      <c r="DJ3" s="146"/>
    </row>
    <row r="4" ht="12.0" customHeight="1">
      <c r="A4" s="6"/>
      <c r="B4" s="17" t="s">
        <v>3</v>
      </c>
      <c r="C4" s="18">
        <f t="shared" ref="C4:AA4" si="5">C3/C2</f>
        <v>0.3719597864</v>
      </c>
      <c r="D4" s="18">
        <f t="shared" si="5"/>
        <v>0.3836310823</v>
      </c>
      <c r="E4" s="18">
        <f t="shared" si="5"/>
        <v>0.3726678544</v>
      </c>
      <c r="F4" s="18">
        <f t="shared" si="5"/>
        <v>0.3874086604</v>
      </c>
      <c r="G4" s="18">
        <f t="shared" si="5"/>
        <v>0.3773983799</v>
      </c>
      <c r="H4" s="18">
        <f t="shared" si="5"/>
        <v>0.4081687865</v>
      </c>
      <c r="I4" s="18">
        <f t="shared" si="5"/>
        <v>0.3591679358</v>
      </c>
      <c r="J4" s="18">
        <f t="shared" si="5"/>
        <v>0.4064363329</v>
      </c>
      <c r="K4" s="18">
        <f t="shared" si="5"/>
        <v>0.4694898291</v>
      </c>
      <c r="L4" s="18">
        <f t="shared" si="5"/>
        <v>0.456875773</v>
      </c>
      <c r="M4" s="18">
        <f t="shared" si="5"/>
        <v>0.4036515428</v>
      </c>
      <c r="N4" s="18">
        <f t="shared" si="5"/>
        <v>0.45559279</v>
      </c>
      <c r="O4" s="18">
        <f t="shared" si="5"/>
        <v>0.3987819372</v>
      </c>
      <c r="P4" s="18">
        <f t="shared" si="5"/>
        <v>0.4811775038</v>
      </c>
      <c r="Q4" s="18">
        <f t="shared" si="5"/>
        <v>0.6085758048</v>
      </c>
      <c r="R4" s="18">
        <f t="shared" si="5"/>
        <v>0.4102777304</v>
      </c>
      <c r="S4" s="18">
        <f t="shared" si="5"/>
        <v>0.3906478479</v>
      </c>
      <c r="T4" s="18">
        <f t="shared" si="5"/>
        <v>0.4240310694</v>
      </c>
      <c r="U4" s="18">
        <f t="shared" si="5"/>
        <v>0.5182663425</v>
      </c>
      <c r="V4" s="18">
        <f t="shared" si="5"/>
        <v>0.4566104198</v>
      </c>
      <c r="W4" s="18">
        <f t="shared" si="5"/>
        <v>0.690777547</v>
      </c>
      <c r="X4" s="18">
        <f t="shared" si="5"/>
        <v>0.7655238553</v>
      </c>
      <c r="Y4" s="18">
        <f t="shared" si="5"/>
        <v>0.7408515836</v>
      </c>
      <c r="Z4" s="18">
        <f t="shared" si="5"/>
        <v>0.7926620471</v>
      </c>
      <c r="AA4" s="18">
        <f t="shared" si="5"/>
        <v>0.6553127504</v>
      </c>
      <c r="AB4" s="18">
        <f t="shared" si="2"/>
        <v>0.5778928752</v>
      </c>
      <c r="AC4" s="18">
        <f t="shared" ref="AC4:AU4" si="6">AC3/AC2</f>
        <v>0.8174766822</v>
      </c>
      <c r="AD4" s="18">
        <f t="shared" si="6"/>
        <v>0.8630021086</v>
      </c>
      <c r="AE4" s="18">
        <f t="shared" si="6"/>
        <v>0.8502052894</v>
      </c>
      <c r="AF4" s="18">
        <f t="shared" si="6"/>
        <v>0.7793924617</v>
      </c>
      <c r="AG4" s="18">
        <f t="shared" si="6"/>
        <v>0.8106056829</v>
      </c>
      <c r="AH4" s="18">
        <f t="shared" si="6"/>
        <v>0.8268195752</v>
      </c>
      <c r="AI4" s="18">
        <f t="shared" si="6"/>
        <v>0.809376401</v>
      </c>
      <c r="AJ4" s="18">
        <f t="shared" si="6"/>
        <v>0.8160919969</v>
      </c>
      <c r="AK4" s="18">
        <f t="shared" si="6"/>
        <v>0.8297605153</v>
      </c>
      <c r="AL4" s="18">
        <f t="shared" si="6"/>
        <v>0.749581349</v>
      </c>
      <c r="AM4" s="18">
        <f t="shared" si="6"/>
        <v>0.836110664</v>
      </c>
      <c r="AN4" s="18">
        <f t="shared" si="6"/>
        <v>0.9058061313</v>
      </c>
      <c r="AO4" s="18">
        <f t="shared" si="6"/>
        <v>0.8244606884</v>
      </c>
      <c r="AP4" s="18">
        <f t="shared" si="6"/>
        <v>0.9365519575</v>
      </c>
      <c r="AQ4" s="18">
        <f t="shared" si="6"/>
        <v>0.9164010556</v>
      </c>
      <c r="AR4" s="18">
        <f t="shared" si="6"/>
        <v>0.9001590451</v>
      </c>
      <c r="AS4" s="18">
        <f t="shared" si="6"/>
        <v>0.879994338</v>
      </c>
      <c r="AT4" s="18">
        <f t="shared" si="6"/>
        <v>0.899774383</v>
      </c>
      <c r="AU4" s="18">
        <f t="shared" si="6"/>
        <v>0.8538076094</v>
      </c>
      <c r="AV4" s="147"/>
      <c r="AW4" s="147"/>
      <c r="AX4" s="147"/>
      <c r="AY4" s="147"/>
      <c r="AZ4" s="147"/>
      <c r="BA4" s="147"/>
      <c r="BB4" s="19">
        <f>BB3/BB2</f>
        <v>0.897847221</v>
      </c>
      <c r="BC4" s="148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1"/>
      <c r="BO4" s="141"/>
      <c r="BP4" s="141"/>
      <c r="BQ4" s="141"/>
      <c r="BR4" s="141"/>
      <c r="BS4" s="141"/>
      <c r="BT4" s="141"/>
      <c r="BU4" s="141"/>
      <c r="BV4" s="141"/>
      <c r="BW4" s="141"/>
      <c r="BX4" s="141"/>
      <c r="BY4" s="141"/>
      <c r="BZ4" s="141"/>
      <c r="CA4" s="141"/>
      <c r="CB4" s="141"/>
      <c r="CC4" s="141"/>
      <c r="CD4" s="141"/>
      <c r="CE4" s="141"/>
      <c r="CF4" s="141"/>
      <c r="CG4" s="141"/>
      <c r="CH4" s="141"/>
      <c r="CI4" s="141"/>
      <c r="CJ4" s="141"/>
      <c r="CK4" s="141"/>
      <c r="CL4" s="141"/>
      <c r="CM4" s="141"/>
      <c r="CN4" s="141"/>
      <c r="CO4" s="141"/>
      <c r="CP4" s="141"/>
      <c r="CQ4" s="141"/>
      <c r="CR4" s="141"/>
      <c r="CS4" s="141"/>
      <c r="CT4" s="141"/>
      <c r="CU4" s="141"/>
      <c r="CV4" s="141"/>
      <c r="CW4" s="141"/>
      <c r="CX4" s="141"/>
      <c r="CY4" s="141"/>
      <c r="CZ4" s="141"/>
      <c r="DA4" s="141"/>
      <c r="DB4" s="141"/>
      <c r="DC4" s="141"/>
      <c r="DD4" s="141"/>
      <c r="DE4" s="141"/>
      <c r="DF4" s="141"/>
      <c r="DG4" s="141"/>
      <c r="DH4" s="141"/>
      <c r="DI4" s="141"/>
      <c r="DJ4" s="146"/>
    </row>
    <row r="5" ht="12.0" customHeight="1">
      <c r="A5" s="6"/>
      <c r="B5" s="99"/>
      <c r="C5" s="83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83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9"/>
      <c r="DI5" s="99"/>
      <c r="DJ5" s="146"/>
    </row>
    <row r="6" ht="12.0" customHeight="1">
      <c r="A6" s="24"/>
      <c r="B6" s="149" t="s">
        <v>138</v>
      </c>
      <c r="C6" s="150" t="s">
        <v>6</v>
      </c>
      <c r="D6" s="150" t="s">
        <v>7</v>
      </c>
      <c r="E6" s="150" t="s">
        <v>8</v>
      </c>
      <c r="F6" s="150" t="s">
        <v>9</v>
      </c>
      <c r="G6" s="150" t="s">
        <v>10</v>
      </c>
      <c r="H6" s="150" t="s">
        <v>11</v>
      </c>
      <c r="I6" s="150" t="s">
        <v>12</v>
      </c>
      <c r="J6" s="150" t="s">
        <v>13</v>
      </c>
      <c r="K6" s="150" t="s">
        <v>14</v>
      </c>
      <c r="L6" s="150" t="s">
        <v>15</v>
      </c>
      <c r="M6" s="150" t="s">
        <v>16</v>
      </c>
      <c r="N6" s="150" t="s">
        <v>17</v>
      </c>
      <c r="O6" s="151" t="s">
        <v>139</v>
      </c>
      <c r="P6" s="152" t="s">
        <v>19</v>
      </c>
      <c r="Q6" s="152" t="s">
        <v>20</v>
      </c>
      <c r="R6" s="152" t="s">
        <v>21</v>
      </c>
      <c r="S6" s="152" t="s">
        <v>22</v>
      </c>
      <c r="T6" s="152" t="s">
        <v>23</v>
      </c>
      <c r="U6" s="152" t="s">
        <v>24</v>
      </c>
      <c r="V6" s="152" t="s">
        <v>25</v>
      </c>
      <c r="W6" s="153" t="s">
        <v>26</v>
      </c>
      <c r="X6" s="153" t="s">
        <v>27</v>
      </c>
      <c r="Y6" s="153" t="s">
        <v>28</v>
      </c>
      <c r="Z6" s="153" t="s">
        <v>29</v>
      </c>
      <c r="AA6" s="153" t="s">
        <v>30</v>
      </c>
      <c r="AB6" s="154">
        <v>2023.0</v>
      </c>
      <c r="AC6" s="153" t="s">
        <v>31</v>
      </c>
      <c r="AD6" s="155" t="s">
        <v>32</v>
      </c>
      <c r="AE6" s="31" t="s">
        <v>33</v>
      </c>
      <c r="AF6" s="155" t="s">
        <v>34</v>
      </c>
      <c r="AG6" s="155" t="s">
        <v>35</v>
      </c>
      <c r="AH6" s="155" t="s">
        <v>36</v>
      </c>
      <c r="AI6" s="155" t="s">
        <v>37</v>
      </c>
      <c r="AJ6" s="155" t="s">
        <v>38</v>
      </c>
      <c r="AK6" s="155" t="s">
        <v>39</v>
      </c>
      <c r="AL6" s="155" t="s">
        <v>40</v>
      </c>
      <c r="AM6" s="155" t="s">
        <v>41</v>
      </c>
      <c r="AN6" s="155" t="s">
        <v>42</v>
      </c>
      <c r="AO6" s="154">
        <v>2024.0</v>
      </c>
      <c r="AP6" s="155" t="s">
        <v>43</v>
      </c>
      <c r="AQ6" s="155" t="s">
        <v>44</v>
      </c>
      <c r="AR6" s="155" t="s">
        <v>45</v>
      </c>
      <c r="AS6" s="155" t="s">
        <v>46</v>
      </c>
      <c r="AT6" s="155" t="s">
        <v>47</v>
      </c>
      <c r="AU6" s="155" t="s">
        <v>48</v>
      </c>
      <c r="AV6" s="155" t="s">
        <v>49</v>
      </c>
      <c r="AW6" s="155" t="s">
        <v>50</v>
      </c>
      <c r="AX6" s="155" t="s">
        <v>51</v>
      </c>
      <c r="AY6" s="155" t="s">
        <v>52</v>
      </c>
      <c r="AZ6" s="155" t="s">
        <v>53</v>
      </c>
      <c r="BA6" s="155" t="s">
        <v>54</v>
      </c>
      <c r="BB6" s="154">
        <v>2025.0</v>
      </c>
      <c r="BC6" s="156"/>
      <c r="BD6" s="156"/>
      <c r="BE6" s="46"/>
      <c r="BF6" s="33" t="s">
        <v>55</v>
      </c>
      <c r="BG6" s="34" t="s">
        <v>56</v>
      </c>
      <c r="BH6" s="22"/>
      <c r="BI6" s="34" t="s">
        <v>57</v>
      </c>
      <c r="BJ6" s="22"/>
      <c r="BK6" s="34" t="s">
        <v>58</v>
      </c>
      <c r="BL6" s="22"/>
      <c r="BM6" s="156"/>
      <c r="BN6" s="46"/>
      <c r="BO6" s="33" t="s">
        <v>55</v>
      </c>
      <c r="BP6" s="34" t="s">
        <v>56</v>
      </c>
      <c r="BQ6" s="22"/>
      <c r="BR6" s="34" t="s">
        <v>57</v>
      </c>
      <c r="BS6" s="22"/>
      <c r="BT6" s="34" t="s">
        <v>58</v>
      </c>
      <c r="BU6" s="22"/>
      <c r="BV6" s="156"/>
      <c r="BW6" s="46"/>
      <c r="BX6" s="33" t="s">
        <v>55</v>
      </c>
      <c r="BY6" s="34" t="s">
        <v>56</v>
      </c>
      <c r="BZ6" s="22"/>
      <c r="CA6" s="34" t="s">
        <v>57</v>
      </c>
      <c r="CB6" s="22"/>
      <c r="CC6" s="34" t="s">
        <v>58</v>
      </c>
      <c r="CD6" s="22"/>
      <c r="CE6" s="156"/>
      <c r="CF6" s="156"/>
      <c r="CG6" s="156"/>
      <c r="CH6" s="156"/>
      <c r="CI6" s="156"/>
      <c r="CJ6" s="156"/>
      <c r="CK6" s="156"/>
      <c r="CL6" s="156"/>
      <c r="CM6" s="156"/>
      <c r="CN6" s="156"/>
      <c r="CO6" s="156"/>
      <c r="CP6" s="156"/>
      <c r="CQ6" s="156"/>
      <c r="CR6" s="156"/>
      <c r="CS6" s="156"/>
      <c r="CT6" s="156"/>
      <c r="CU6" s="156"/>
      <c r="CV6" s="156"/>
      <c r="CW6" s="156"/>
      <c r="CX6" s="156"/>
      <c r="CY6" s="156"/>
      <c r="CZ6" s="156"/>
      <c r="DA6" s="156"/>
      <c r="DB6" s="156"/>
      <c r="DC6" s="156"/>
      <c r="DD6" s="156"/>
      <c r="DE6" s="156"/>
      <c r="DF6" s="156"/>
      <c r="DG6" s="156"/>
      <c r="DH6" s="156"/>
      <c r="DI6" s="156"/>
      <c r="DJ6" s="146"/>
    </row>
    <row r="7" ht="12.0" customHeight="1">
      <c r="A7" s="6"/>
      <c r="B7" s="91" t="str">
        <f>'SDDPL '!B7</f>
        <v>No. of Days</v>
      </c>
      <c r="C7" s="37">
        <v>31.0</v>
      </c>
      <c r="D7" s="37">
        <v>28.0</v>
      </c>
      <c r="E7" s="37">
        <v>31.0</v>
      </c>
      <c r="F7" s="37">
        <v>30.0</v>
      </c>
      <c r="G7" s="37">
        <v>31.0</v>
      </c>
      <c r="H7" s="37">
        <v>30.0</v>
      </c>
      <c r="I7" s="37">
        <v>31.0</v>
      </c>
      <c r="J7" s="37">
        <v>31.0</v>
      </c>
      <c r="K7" s="37">
        <v>30.0</v>
      </c>
      <c r="L7" s="37">
        <v>31.0</v>
      </c>
      <c r="M7" s="37">
        <v>30.0</v>
      </c>
      <c r="N7" s="37">
        <v>31.0</v>
      </c>
      <c r="O7" s="157">
        <f>SUM(C7:N7)</f>
        <v>365</v>
      </c>
      <c r="P7" s="37">
        <v>31.0</v>
      </c>
      <c r="Q7" s="37">
        <v>28.0</v>
      </c>
      <c r="R7" s="37">
        <v>31.0</v>
      </c>
      <c r="S7" s="37">
        <v>30.0</v>
      </c>
      <c r="T7" s="37">
        <v>31.0</v>
      </c>
      <c r="U7" s="37">
        <v>30.0</v>
      </c>
      <c r="V7" s="37">
        <v>31.0</v>
      </c>
      <c r="W7" s="37">
        <v>31.0</v>
      </c>
      <c r="X7" s="37">
        <v>30.0</v>
      </c>
      <c r="Y7" s="37">
        <v>31.0</v>
      </c>
      <c r="Z7" s="37">
        <v>30.0</v>
      </c>
      <c r="AA7" s="37">
        <v>31.0</v>
      </c>
      <c r="AB7" s="157">
        <f>SUM(P7:AA7)</f>
        <v>365</v>
      </c>
      <c r="AC7" s="37">
        <v>31.0</v>
      </c>
      <c r="AD7" s="37">
        <v>29.0</v>
      </c>
      <c r="AE7" s="37">
        <v>31.0</v>
      </c>
      <c r="AF7" s="41">
        <v>30.0</v>
      </c>
      <c r="AG7" s="41">
        <v>31.0</v>
      </c>
      <c r="AH7" s="41">
        <v>30.0</v>
      </c>
      <c r="AI7" s="41">
        <v>31.0</v>
      </c>
      <c r="AJ7" s="41">
        <v>31.0</v>
      </c>
      <c r="AK7" s="41">
        <v>30.0</v>
      </c>
      <c r="AL7" s="41">
        <v>31.0</v>
      </c>
      <c r="AM7" s="41">
        <v>30.0</v>
      </c>
      <c r="AN7" s="41">
        <v>31.0</v>
      </c>
      <c r="AO7" s="73">
        <f>SUM(AC7:AN7)</f>
        <v>366</v>
      </c>
      <c r="AP7" s="41">
        <v>31.0</v>
      </c>
      <c r="AQ7" s="41">
        <v>28.0</v>
      </c>
      <c r="AR7" s="41">
        <v>31.0</v>
      </c>
      <c r="AS7" s="41">
        <v>30.0</v>
      </c>
      <c r="AT7" s="41">
        <v>31.0</v>
      </c>
      <c r="AU7" s="41">
        <v>30.0</v>
      </c>
      <c r="AV7" s="37">
        <v>31.0</v>
      </c>
      <c r="AW7" s="37">
        <v>31.0</v>
      </c>
      <c r="AX7" s="37">
        <v>30.0</v>
      </c>
      <c r="AY7" s="37">
        <v>31.0</v>
      </c>
      <c r="AZ7" s="37">
        <v>30.0</v>
      </c>
      <c r="BA7" s="37">
        <v>31.0</v>
      </c>
      <c r="BB7" s="73">
        <f>SUM(AP7:AU7)</f>
        <v>181</v>
      </c>
      <c r="BC7" s="99"/>
      <c r="BD7" s="99"/>
      <c r="BE7" s="158" t="s">
        <v>60</v>
      </c>
      <c r="BF7" s="43" t="s">
        <v>61</v>
      </c>
      <c r="BG7" s="94" t="s">
        <v>62</v>
      </c>
      <c r="BH7" s="29" t="s">
        <v>63</v>
      </c>
      <c r="BI7" s="95" t="s">
        <v>62</v>
      </c>
      <c r="BJ7" s="43" t="s">
        <v>63</v>
      </c>
      <c r="BK7" s="95" t="s">
        <v>62</v>
      </c>
      <c r="BL7" s="43" t="s">
        <v>63</v>
      </c>
      <c r="BM7" s="99"/>
      <c r="BN7" s="158" t="s">
        <v>60</v>
      </c>
      <c r="BO7" s="43" t="s">
        <v>61</v>
      </c>
      <c r="BP7" s="94" t="s">
        <v>62</v>
      </c>
      <c r="BQ7" s="29" t="s">
        <v>63</v>
      </c>
      <c r="BR7" s="95" t="s">
        <v>62</v>
      </c>
      <c r="BS7" s="43" t="s">
        <v>63</v>
      </c>
      <c r="BT7" s="95" t="s">
        <v>62</v>
      </c>
      <c r="BU7" s="43" t="s">
        <v>63</v>
      </c>
      <c r="BV7" s="99"/>
      <c r="BW7" s="158" t="s">
        <v>60</v>
      </c>
      <c r="BX7" s="43" t="s">
        <v>61</v>
      </c>
      <c r="BY7" s="94" t="s">
        <v>62</v>
      </c>
      <c r="BZ7" s="29" t="s">
        <v>63</v>
      </c>
      <c r="CA7" s="95" t="s">
        <v>62</v>
      </c>
      <c r="CB7" s="43" t="s">
        <v>63</v>
      </c>
      <c r="CC7" s="95" t="s">
        <v>62</v>
      </c>
      <c r="CD7" s="43" t="s">
        <v>63</v>
      </c>
      <c r="CE7" s="99"/>
      <c r="CF7" s="99"/>
      <c r="CG7" s="99"/>
      <c r="CH7" s="159">
        <f>SUM(P29:AA29)</f>
        <v>12558820.01</v>
      </c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99"/>
      <c r="CW7" s="99"/>
      <c r="CX7" s="99"/>
      <c r="CY7" s="99"/>
      <c r="CZ7" s="99"/>
      <c r="DA7" s="99"/>
      <c r="DB7" s="99"/>
      <c r="DC7" s="99"/>
      <c r="DD7" s="99"/>
      <c r="DE7" s="99"/>
      <c r="DF7" s="99"/>
      <c r="DG7" s="99"/>
      <c r="DH7" s="99"/>
      <c r="DI7" s="99"/>
      <c r="DJ7" s="146"/>
    </row>
    <row r="8" ht="12.0" customHeight="1">
      <c r="A8" s="6"/>
      <c r="B8" s="91" t="str">
        <f>'SDDPL '!B8</f>
        <v>No. of CBMCs</v>
      </c>
      <c r="C8" s="37">
        <v>20.0</v>
      </c>
      <c r="D8" s="37">
        <v>20.0</v>
      </c>
      <c r="E8" s="37">
        <v>20.0</v>
      </c>
      <c r="F8" s="37">
        <v>20.0</v>
      </c>
      <c r="G8" s="37">
        <v>20.0</v>
      </c>
      <c r="H8" s="37">
        <v>20.0</v>
      </c>
      <c r="I8" s="37">
        <v>20.0</v>
      </c>
      <c r="J8" s="37">
        <v>20.0</v>
      </c>
      <c r="K8" s="37">
        <v>20.0</v>
      </c>
      <c r="L8" s="37">
        <v>20.0</v>
      </c>
      <c r="M8" s="37">
        <v>20.0</v>
      </c>
      <c r="N8" s="37">
        <v>20.0</v>
      </c>
      <c r="O8" s="73">
        <v>20.0</v>
      </c>
      <c r="P8" s="37">
        <v>20.0</v>
      </c>
      <c r="Q8" s="37">
        <v>20.0</v>
      </c>
      <c r="R8" s="37">
        <v>20.0</v>
      </c>
      <c r="S8" s="37">
        <v>20.0</v>
      </c>
      <c r="T8" s="37">
        <v>20.0</v>
      </c>
      <c r="U8" s="37">
        <v>20.0</v>
      </c>
      <c r="V8" s="37">
        <v>20.0</v>
      </c>
      <c r="W8" s="37">
        <v>20.0</v>
      </c>
      <c r="X8" s="37">
        <v>20.0</v>
      </c>
      <c r="Y8" s="37">
        <v>20.0</v>
      </c>
      <c r="Z8" s="37">
        <v>20.0</v>
      </c>
      <c r="AA8" s="37">
        <v>20.0</v>
      </c>
      <c r="AB8" s="73">
        <v>20.0</v>
      </c>
      <c r="AC8" s="37">
        <v>20.0</v>
      </c>
      <c r="AD8" s="37">
        <f t="shared" ref="AD8:AO8" si="7">AC8</f>
        <v>20</v>
      </c>
      <c r="AE8" s="37">
        <f t="shared" si="7"/>
        <v>20</v>
      </c>
      <c r="AF8" s="37">
        <f t="shared" si="7"/>
        <v>20</v>
      </c>
      <c r="AG8" s="37">
        <f t="shared" si="7"/>
        <v>20</v>
      </c>
      <c r="AH8" s="37">
        <f t="shared" si="7"/>
        <v>20</v>
      </c>
      <c r="AI8" s="37">
        <f t="shared" si="7"/>
        <v>20</v>
      </c>
      <c r="AJ8" s="37">
        <f t="shared" si="7"/>
        <v>20</v>
      </c>
      <c r="AK8" s="37">
        <f t="shared" si="7"/>
        <v>20</v>
      </c>
      <c r="AL8" s="37">
        <f t="shared" si="7"/>
        <v>20</v>
      </c>
      <c r="AM8" s="37">
        <f t="shared" si="7"/>
        <v>20</v>
      </c>
      <c r="AN8" s="37">
        <f t="shared" si="7"/>
        <v>20</v>
      </c>
      <c r="AO8" s="73">
        <f t="shared" si="7"/>
        <v>20</v>
      </c>
      <c r="AP8" s="37">
        <v>20.0</v>
      </c>
      <c r="AQ8" s="37">
        <f t="shared" ref="AQ8:AR8" si="8">AP8</f>
        <v>20</v>
      </c>
      <c r="AR8" s="37">
        <f t="shared" si="8"/>
        <v>20</v>
      </c>
      <c r="AS8" s="37">
        <v>19.0</v>
      </c>
      <c r="AT8" s="37">
        <f t="shared" ref="AT8:BB8" si="9">AS8</f>
        <v>19</v>
      </c>
      <c r="AU8" s="37">
        <f t="shared" si="9"/>
        <v>19</v>
      </c>
      <c r="AV8" s="37">
        <f t="shared" si="9"/>
        <v>19</v>
      </c>
      <c r="AW8" s="37">
        <f t="shared" si="9"/>
        <v>19</v>
      </c>
      <c r="AX8" s="37">
        <f t="shared" si="9"/>
        <v>19</v>
      </c>
      <c r="AY8" s="37">
        <f t="shared" si="9"/>
        <v>19</v>
      </c>
      <c r="AZ8" s="37">
        <f t="shared" si="9"/>
        <v>19</v>
      </c>
      <c r="BA8" s="37">
        <f t="shared" si="9"/>
        <v>19</v>
      </c>
      <c r="BB8" s="73">
        <f t="shared" si="9"/>
        <v>19</v>
      </c>
      <c r="BC8" s="99"/>
      <c r="BD8" s="99"/>
      <c r="BE8" s="46" t="s">
        <v>65</v>
      </c>
      <c r="BF8" s="41">
        <f t="shared" ref="BF8:BK8" si="10">BF17</f>
        <v>17041764</v>
      </c>
      <c r="BG8" s="41">
        <f t="shared" si="10"/>
        <v>20481612.5</v>
      </c>
      <c r="BH8" s="41">
        <f t="shared" si="10"/>
        <v>21595341</v>
      </c>
      <c r="BI8" s="41">
        <f t="shared" si="10"/>
        <v>24651805</v>
      </c>
      <c r="BJ8" s="41">
        <f t="shared" si="10"/>
        <v>23495541</v>
      </c>
      <c r="BK8" s="41">
        <f t="shared" si="10"/>
        <v>26554800</v>
      </c>
      <c r="BL8" s="41"/>
      <c r="BM8" s="99"/>
      <c r="BN8" s="46" t="s">
        <v>66</v>
      </c>
      <c r="BO8" s="41" t="str">
        <f t="shared" ref="BO8:BT8" si="11">BO17/365/1000</f>
        <v>#REF!</v>
      </c>
      <c r="BP8" s="41" t="str">
        <f t="shared" si="11"/>
        <v>#REF!</v>
      </c>
      <c r="BQ8" s="41" t="str">
        <f t="shared" si="11"/>
        <v>#REF!</v>
      </c>
      <c r="BR8" s="41" t="str">
        <f t="shared" si="11"/>
        <v>#REF!</v>
      </c>
      <c r="BS8" s="41" t="str">
        <f t="shared" si="11"/>
        <v>#REF!</v>
      </c>
      <c r="BT8" s="41">
        <f t="shared" si="11"/>
        <v>68.85</v>
      </c>
      <c r="BU8" s="41"/>
      <c r="BV8" s="99"/>
      <c r="BW8" s="46" t="s">
        <v>66</v>
      </c>
      <c r="BX8" s="41">
        <f t="shared" ref="BX8:CC8" si="12">BX17/365/1000</f>
        <v>46.68976438</v>
      </c>
      <c r="BY8" s="41">
        <f t="shared" si="12"/>
        <v>56.11400685</v>
      </c>
      <c r="BZ8" s="41">
        <f t="shared" si="12"/>
        <v>59.16531781</v>
      </c>
      <c r="CA8" s="41">
        <f t="shared" si="12"/>
        <v>67.53919178</v>
      </c>
      <c r="CB8" s="41">
        <f t="shared" si="12"/>
        <v>64.37134521</v>
      </c>
      <c r="CC8" s="41">
        <f t="shared" si="12"/>
        <v>68.85</v>
      </c>
      <c r="CD8" s="41"/>
      <c r="CE8" s="99"/>
      <c r="CF8" s="99"/>
      <c r="CG8" s="99"/>
      <c r="CH8" s="159">
        <f>SUM(AC29:AJ29)</f>
        <v>12916430.17</v>
      </c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99"/>
      <c r="DC8" s="99"/>
      <c r="DD8" s="99"/>
      <c r="DE8" s="99"/>
      <c r="DF8" s="99"/>
      <c r="DG8" s="99"/>
      <c r="DH8" s="99"/>
      <c r="DI8" s="99"/>
      <c r="DJ8" s="146"/>
    </row>
    <row r="9" ht="12.0" customHeight="1">
      <c r="A9" s="6"/>
      <c r="B9" s="91" t="str">
        <f>'SDDPL '!B9</f>
        <v>Installed BMC Capacity per day</v>
      </c>
      <c r="C9" s="37">
        <v>60500.0</v>
      </c>
      <c r="D9" s="37">
        <v>60500.0</v>
      </c>
      <c r="E9" s="37">
        <v>60500.0</v>
      </c>
      <c r="F9" s="37">
        <v>60500.0</v>
      </c>
      <c r="G9" s="37">
        <v>60500.0</v>
      </c>
      <c r="H9" s="37">
        <v>60500.0</v>
      </c>
      <c r="I9" s="37">
        <v>60500.0</v>
      </c>
      <c r="J9" s="37">
        <v>60500.0</v>
      </c>
      <c r="K9" s="37">
        <v>60500.0</v>
      </c>
      <c r="L9" s="37">
        <v>60500.0</v>
      </c>
      <c r="M9" s="37">
        <v>60500.0</v>
      </c>
      <c r="N9" s="37">
        <v>60500.0</v>
      </c>
      <c r="O9" s="73">
        <v>60500.0</v>
      </c>
      <c r="P9" s="37">
        <v>60500.0</v>
      </c>
      <c r="Q9" s="37">
        <v>60500.0</v>
      </c>
      <c r="R9" s="37">
        <v>60500.0</v>
      </c>
      <c r="S9" s="37">
        <v>60500.0</v>
      </c>
      <c r="T9" s="37">
        <v>60500.0</v>
      </c>
      <c r="U9" s="37">
        <v>60500.0</v>
      </c>
      <c r="V9" s="37">
        <v>60500.0</v>
      </c>
      <c r="W9" s="37">
        <v>60500.0</v>
      </c>
      <c r="X9" s="37">
        <v>76500.0</v>
      </c>
      <c r="Y9" s="37">
        <v>76500.0</v>
      </c>
      <c r="Z9" s="37">
        <v>76500.0</v>
      </c>
      <c r="AA9" s="37">
        <v>76500.0</v>
      </c>
      <c r="AB9" s="73">
        <f>AVERAGE(P9:AA9)</f>
        <v>65833.33333</v>
      </c>
      <c r="AC9" s="37">
        <f>AA9</f>
        <v>76500</v>
      </c>
      <c r="AD9" s="37">
        <f t="shared" ref="AD9:AK9" si="13">AC9</f>
        <v>76500</v>
      </c>
      <c r="AE9" s="37">
        <f t="shared" si="13"/>
        <v>76500</v>
      </c>
      <c r="AF9" s="37">
        <f t="shared" si="13"/>
        <v>76500</v>
      </c>
      <c r="AG9" s="37">
        <f t="shared" si="13"/>
        <v>76500</v>
      </c>
      <c r="AH9" s="37">
        <f t="shared" si="13"/>
        <v>76500</v>
      </c>
      <c r="AI9" s="37">
        <f t="shared" si="13"/>
        <v>76500</v>
      </c>
      <c r="AJ9" s="37">
        <f t="shared" si="13"/>
        <v>76500</v>
      </c>
      <c r="AK9" s="37">
        <f t="shared" si="13"/>
        <v>76500</v>
      </c>
      <c r="AL9" s="37">
        <v>78500.0</v>
      </c>
      <c r="AM9" s="37">
        <v>82500.0</v>
      </c>
      <c r="AN9" s="37">
        <f>AM9</f>
        <v>82500</v>
      </c>
      <c r="AO9" s="73">
        <f>AVERAGE(AC9:AN9)</f>
        <v>77666.66667</v>
      </c>
      <c r="AP9" s="37">
        <f>AN9</f>
        <v>82500</v>
      </c>
      <c r="AQ9" s="37">
        <f t="shared" ref="AQ9:AR9" si="14">AP9</f>
        <v>82500</v>
      </c>
      <c r="AR9" s="37">
        <f t="shared" si="14"/>
        <v>82500</v>
      </c>
      <c r="AS9" s="37">
        <v>80000.0</v>
      </c>
      <c r="AT9" s="37">
        <f t="shared" ref="AT9:BA9" si="15">AS9</f>
        <v>80000</v>
      </c>
      <c r="AU9" s="37">
        <f t="shared" si="15"/>
        <v>80000</v>
      </c>
      <c r="AV9" s="37">
        <f t="shared" si="15"/>
        <v>80000</v>
      </c>
      <c r="AW9" s="37">
        <f t="shared" si="15"/>
        <v>80000</v>
      </c>
      <c r="AX9" s="37">
        <f t="shared" si="15"/>
        <v>80000</v>
      </c>
      <c r="AY9" s="37">
        <f t="shared" si="15"/>
        <v>80000</v>
      </c>
      <c r="AZ9" s="37">
        <f t="shared" si="15"/>
        <v>80000</v>
      </c>
      <c r="BA9" s="37">
        <f t="shared" si="15"/>
        <v>80000</v>
      </c>
      <c r="BB9" s="73">
        <f>AVERAGE(AP9:AU9)</f>
        <v>81250</v>
      </c>
      <c r="BC9" s="16">
        <f>SUM(AC9:AE9)</f>
        <v>229500</v>
      </c>
      <c r="BD9" s="16">
        <f>SUM(AF9:AH9)</f>
        <v>229500</v>
      </c>
      <c r="BE9" s="46" t="s">
        <v>68</v>
      </c>
      <c r="BF9" s="41">
        <f>BF11*BF8</f>
        <v>3578770.44</v>
      </c>
      <c r="BG9" s="41">
        <f>AB28</f>
        <v>14278912.21</v>
      </c>
      <c r="BH9" s="41">
        <f>AB29</f>
        <v>12558820.01</v>
      </c>
      <c r="BI9" s="41">
        <f>AO28</f>
        <v>20942299.68</v>
      </c>
      <c r="BJ9" s="41">
        <f>AO29</f>
        <v>19370809.17</v>
      </c>
      <c r="BK9" s="41">
        <f>BB28</f>
        <v>23827949.45</v>
      </c>
      <c r="BL9" s="41"/>
      <c r="BM9" s="99"/>
      <c r="BN9" s="46" t="s">
        <v>69</v>
      </c>
      <c r="BO9" s="41" t="str">
        <f t="shared" ref="BO9:BS9" si="16">SUM(#REF!)/365/1000</f>
        <v>#REF!</v>
      </c>
      <c r="BP9" s="41" t="str">
        <f t="shared" si="16"/>
        <v>#REF!</v>
      </c>
      <c r="BQ9" s="41" t="str">
        <f t="shared" si="16"/>
        <v>#REF!</v>
      </c>
      <c r="BR9" s="41" t="str">
        <f t="shared" si="16"/>
        <v>#REF!</v>
      </c>
      <c r="BS9" s="41" t="str">
        <f t="shared" si="16"/>
        <v>#REF!</v>
      </c>
      <c r="BT9" s="41">
        <f>BT8*BT11</f>
        <v>61.965</v>
      </c>
      <c r="BU9" s="41"/>
      <c r="BV9" s="99"/>
      <c r="BW9" s="46" t="s">
        <v>69</v>
      </c>
      <c r="BX9" s="41">
        <f>SUM(C29:N29)/365/1000</f>
        <v>18.91115215</v>
      </c>
      <c r="BY9" s="41">
        <f>SUM(P28:AA28)/365/1000</f>
        <v>39.12030743</v>
      </c>
      <c r="BZ9" s="41">
        <f>SUM(P29:AA29)/365/1000</f>
        <v>34.40772604</v>
      </c>
      <c r="CA9" s="41">
        <f>SUM(AC28:AN28)/365/1000</f>
        <v>57.37616349</v>
      </c>
      <c r="CB9" s="41">
        <f>SUM(AC29:AN29)/365/1000</f>
        <v>53.07071005</v>
      </c>
      <c r="CC9" s="41">
        <f>CC8*CC11</f>
        <v>61.965</v>
      </c>
      <c r="CD9" s="41"/>
      <c r="CE9" s="99"/>
      <c r="CF9" s="99"/>
      <c r="CG9" s="99"/>
      <c r="CH9" s="159">
        <f>CH8+CH7</f>
        <v>25475250.17</v>
      </c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99"/>
      <c r="DH9" s="99"/>
      <c r="DI9" s="99"/>
      <c r="DJ9" s="146"/>
    </row>
    <row r="10" ht="12.0" customHeight="1">
      <c r="A10" s="6"/>
      <c r="B10" s="91" t="str">
        <f>'SDDPL '!B10</f>
        <v>Installed Capacity per CBMC</v>
      </c>
      <c r="C10" s="37">
        <f t="shared" ref="C10:BB10" si="17">C9/C8</f>
        <v>3025</v>
      </c>
      <c r="D10" s="37">
        <f t="shared" si="17"/>
        <v>3025</v>
      </c>
      <c r="E10" s="37">
        <f t="shared" si="17"/>
        <v>3025</v>
      </c>
      <c r="F10" s="37">
        <f t="shared" si="17"/>
        <v>3025</v>
      </c>
      <c r="G10" s="37">
        <f t="shared" si="17"/>
        <v>3025</v>
      </c>
      <c r="H10" s="37">
        <f t="shared" si="17"/>
        <v>3025</v>
      </c>
      <c r="I10" s="37">
        <f t="shared" si="17"/>
        <v>3025</v>
      </c>
      <c r="J10" s="37">
        <f t="shared" si="17"/>
        <v>3025</v>
      </c>
      <c r="K10" s="37">
        <f t="shared" si="17"/>
        <v>3025</v>
      </c>
      <c r="L10" s="37">
        <f t="shared" si="17"/>
        <v>3025</v>
      </c>
      <c r="M10" s="37">
        <f t="shared" si="17"/>
        <v>3025</v>
      </c>
      <c r="N10" s="37">
        <f t="shared" si="17"/>
        <v>3025</v>
      </c>
      <c r="O10" s="73">
        <f t="shared" si="17"/>
        <v>3025</v>
      </c>
      <c r="P10" s="37">
        <f t="shared" si="17"/>
        <v>3025</v>
      </c>
      <c r="Q10" s="37">
        <f t="shared" si="17"/>
        <v>3025</v>
      </c>
      <c r="R10" s="37">
        <f t="shared" si="17"/>
        <v>3025</v>
      </c>
      <c r="S10" s="37">
        <f t="shared" si="17"/>
        <v>3025</v>
      </c>
      <c r="T10" s="37">
        <f t="shared" si="17"/>
        <v>3025</v>
      </c>
      <c r="U10" s="37">
        <f t="shared" si="17"/>
        <v>3025</v>
      </c>
      <c r="V10" s="37">
        <f t="shared" si="17"/>
        <v>3025</v>
      </c>
      <c r="W10" s="37">
        <f t="shared" si="17"/>
        <v>3025</v>
      </c>
      <c r="X10" s="37">
        <f t="shared" si="17"/>
        <v>3825</v>
      </c>
      <c r="Y10" s="37">
        <f t="shared" si="17"/>
        <v>3825</v>
      </c>
      <c r="Z10" s="37">
        <f t="shared" si="17"/>
        <v>3825</v>
      </c>
      <c r="AA10" s="37">
        <f t="shared" si="17"/>
        <v>3825</v>
      </c>
      <c r="AB10" s="73">
        <f t="shared" si="17"/>
        <v>3291.666667</v>
      </c>
      <c r="AC10" s="37">
        <f t="shared" si="17"/>
        <v>3825</v>
      </c>
      <c r="AD10" s="37">
        <f t="shared" si="17"/>
        <v>3825</v>
      </c>
      <c r="AE10" s="37">
        <f t="shared" si="17"/>
        <v>3825</v>
      </c>
      <c r="AF10" s="37">
        <f t="shared" si="17"/>
        <v>3825</v>
      </c>
      <c r="AG10" s="37">
        <f t="shared" si="17"/>
        <v>3825</v>
      </c>
      <c r="AH10" s="37">
        <f t="shared" si="17"/>
        <v>3825</v>
      </c>
      <c r="AI10" s="37">
        <f t="shared" si="17"/>
        <v>3825</v>
      </c>
      <c r="AJ10" s="37">
        <f t="shared" si="17"/>
        <v>3825</v>
      </c>
      <c r="AK10" s="37">
        <f t="shared" si="17"/>
        <v>3825</v>
      </c>
      <c r="AL10" s="37">
        <f t="shared" si="17"/>
        <v>3925</v>
      </c>
      <c r="AM10" s="37">
        <f t="shared" si="17"/>
        <v>4125</v>
      </c>
      <c r="AN10" s="37">
        <f t="shared" si="17"/>
        <v>4125</v>
      </c>
      <c r="AO10" s="73">
        <f t="shared" si="17"/>
        <v>3883.333333</v>
      </c>
      <c r="AP10" s="37">
        <f t="shared" si="17"/>
        <v>4125</v>
      </c>
      <c r="AQ10" s="37">
        <f t="shared" si="17"/>
        <v>4125</v>
      </c>
      <c r="AR10" s="37">
        <f t="shared" si="17"/>
        <v>4125</v>
      </c>
      <c r="AS10" s="37">
        <f t="shared" si="17"/>
        <v>4210.526316</v>
      </c>
      <c r="AT10" s="37">
        <f t="shared" si="17"/>
        <v>4210.526316</v>
      </c>
      <c r="AU10" s="37">
        <f t="shared" si="17"/>
        <v>4210.526316</v>
      </c>
      <c r="AV10" s="37">
        <f t="shared" si="17"/>
        <v>4210.526316</v>
      </c>
      <c r="AW10" s="37">
        <f t="shared" si="17"/>
        <v>4210.526316</v>
      </c>
      <c r="AX10" s="37">
        <f t="shared" si="17"/>
        <v>4210.526316</v>
      </c>
      <c r="AY10" s="37">
        <f t="shared" si="17"/>
        <v>4210.526316</v>
      </c>
      <c r="AZ10" s="37">
        <f t="shared" si="17"/>
        <v>4210.526316</v>
      </c>
      <c r="BA10" s="37">
        <f t="shared" si="17"/>
        <v>4210.526316</v>
      </c>
      <c r="BB10" s="73">
        <f t="shared" si="17"/>
        <v>4276.315789</v>
      </c>
      <c r="BC10" s="2"/>
      <c r="BD10" s="2"/>
      <c r="BE10" s="46" t="s">
        <v>72</v>
      </c>
      <c r="BF10" s="41">
        <f>BF9/O7</f>
        <v>9804.850521</v>
      </c>
      <c r="BG10" s="41">
        <f>BG9/AB7</f>
        <v>39120.30743</v>
      </c>
      <c r="BH10" s="41">
        <f>BH9/AB7</f>
        <v>34407.72604</v>
      </c>
      <c r="BI10" s="41">
        <f>BI9/AO7</f>
        <v>57219.39802</v>
      </c>
      <c r="BJ10" s="41">
        <f>BJ9/AO7</f>
        <v>52925.70811</v>
      </c>
      <c r="BK10" s="41">
        <f>BK9/BB7</f>
        <v>131646.1296</v>
      </c>
      <c r="BL10" s="41"/>
      <c r="BM10" s="99"/>
      <c r="BN10" s="46" t="s">
        <v>72</v>
      </c>
      <c r="BO10" s="41" t="str">
        <f t="shared" ref="BO10:BS10" si="18">BO9/365*10^6</f>
        <v>#REF!</v>
      </c>
      <c r="BP10" s="41" t="str">
        <f t="shared" si="18"/>
        <v>#REF!</v>
      </c>
      <c r="BQ10" s="41" t="str">
        <f t="shared" si="18"/>
        <v>#REF!</v>
      </c>
      <c r="BR10" s="41" t="str">
        <f t="shared" si="18"/>
        <v>#REF!</v>
      </c>
      <c r="BS10" s="41" t="str">
        <f t="shared" si="18"/>
        <v>#REF!</v>
      </c>
      <c r="BT10" s="41">
        <f>BT9*10^6/365</f>
        <v>169767.1233</v>
      </c>
      <c r="BU10" s="41"/>
      <c r="BV10" s="99"/>
      <c r="BW10" s="46" t="s">
        <v>72</v>
      </c>
      <c r="BX10" s="41">
        <f t="shared" ref="BX10:CB10" si="19">BX9/365*10^6</f>
        <v>51811.37576</v>
      </c>
      <c r="BY10" s="41">
        <f t="shared" si="19"/>
        <v>107178.9245</v>
      </c>
      <c r="BZ10" s="41">
        <f t="shared" si="19"/>
        <v>94267.74259</v>
      </c>
      <c r="CA10" s="41">
        <f t="shared" si="19"/>
        <v>157194.9685</v>
      </c>
      <c r="CB10" s="41">
        <f t="shared" si="19"/>
        <v>145399.2056</v>
      </c>
      <c r="CC10" s="41">
        <f>CC9*10^6/365</f>
        <v>169767.1233</v>
      </c>
      <c r="CD10" s="41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146"/>
    </row>
    <row r="11" ht="12.0" customHeight="1">
      <c r="A11" s="47" t="s">
        <v>74</v>
      </c>
      <c r="B11" s="160" t="str">
        <f>'SDDPL '!B11</f>
        <v>Milk Received - Plan Vol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>
        <v>1537910.0</v>
      </c>
      <c r="Q11" s="49">
        <v>1397550.0</v>
      </c>
      <c r="R11" s="49">
        <v>1556665.0</v>
      </c>
      <c r="S11" s="49">
        <v>1515525.0</v>
      </c>
      <c r="T11" s="49">
        <v>1575420.0</v>
      </c>
      <c r="U11" s="49">
        <v>1533675.0</v>
      </c>
      <c r="V11" s="49">
        <v>1594175.0</v>
      </c>
      <c r="W11" s="49">
        <v>1603552.5</v>
      </c>
      <c r="X11" s="49">
        <v>1973700.0</v>
      </c>
      <c r="Y11" s="49">
        <v>2063205.0</v>
      </c>
      <c r="Z11" s="49">
        <v>2019600.0</v>
      </c>
      <c r="AA11" s="49">
        <v>2110635.0</v>
      </c>
      <c r="AB11" s="49">
        <f t="shared" ref="AB11:AB12" si="25">SUM(P11:AA11)</f>
        <v>20481612.5</v>
      </c>
      <c r="AC11" s="49">
        <f t="shared" ref="AC11:AN11" si="20">AC14*AC9*AC7</f>
        <v>2015775</v>
      </c>
      <c r="AD11" s="49">
        <f t="shared" si="20"/>
        <v>1841355</v>
      </c>
      <c r="AE11" s="49">
        <f t="shared" si="20"/>
        <v>2063205</v>
      </c>
      <c r="AF11" s="49">
        <f t="shared" si="20"/>
        <v>1996650</v>
      </c>
      <c r="AG11" s="49">
        <f t="shared" si="20"/>
        <v>2110635</v>
      </c>
      <c r="AH11" s="49">
        <f t="shared" si="20"/>
        <v>1950750</v>
      </c>
      <c r="AI11" s="49">
        <f t="shared" si="20"/>
        <v>2063205</v>
      </c>
      <c r="AJ11" s="49">
        <f t="shared" si="20"/>
        <v>2086920</v>
      </c>
      <c r="AK11" s="49">
        <f t="shared" si="20"/>
        <v>1950750</v>
      </c>
      <c r="AL11" s="49">
        <f t="shared" si="20"/>
        <v>2092810</v>
      </c>
      <c r="AM11" s="49">
        <f t="shared" si="20"/>
        <v>2178000</v>
      </c>
      <c r="AN11" s="49">
        <f t="shared" si="20"/>
        <v>2301750</v>
      </c>
      <c r="AO11" s="49">
        <f t="shared" ref="AO11:AO12" si="26">SUM(AC11:AN11)</f>
        <v>24651805</v>
      </c>
      <c r="AP11" s="49">
        <f t="shared" ref="AP11:BA11" si="21">AP14*AP9*AP7</f>
        <v>2237812.5</v>
      </c>
      <c r="AQ11" s="49">
        <f t="shared" si="21"/>
        <v>2032800</v>
      </c>
      <c r="AR11" s="49">
        <f t="shared" si="21"/>
        <v>2263387.5</v>
      </c>
      <c r="AS11" s="49">
        <f t="shared" si="21"/>
        <v>2136000</v>
      </c>
      <c r="AT11" s="49">
        <f t="shared" si="21"/>
        <v>2219600</v>
      </c>
      <c r="AU11" s="49">
        <f t="shared" si="21"/>
        <v>2160000</v>
      </c>
      <c r="AV11" s="49">
        <f t="shared" si="21"/>
        <v>2244400</v>
      </c>
      <c r="AW11" s="49">
        <f t="shared" si="21"/>
        <v>2256800</v>
      </c>
      <c r="AX11" s="49">
        <f t="shared" si="21"/>
        <v>2196000</v>
      </c>
      <c r="AY11" s="49">
        <f t="shared" si="21"/>
        <v>2281600</v>
      </c>
      <c r="AZ11" s="49">
        <f t="shared" si="21"/>
        <v>2220000</v>
      </c>
      <c r="BA11" s="49">
        <f t="shared" si="21"/>
        <v>2306400</v>
      </c>
      <c r="BB11" s="161">
        <f t="shared" ref="BB11:BB12" si="27">SUM(AP11:BA11)</f>
        <v>26554800</v>
      </c>
      <c r="BC11" s="2"/>
      <c r="BD11" s="2"/>
      <c r="BE11" s="51" t="s">
        <v>76</v>
      </c>
      <c r="BF11" s="53">
        <v>0.21</v>
      </c>
      <c r="BG11" s="52">
        <f t="shared" ref="BG11:BJ11" si="22">BG9/BG8</f>
        <v>0.6971576194</v>
      </c>
      <c r="BH11" s="52">
        <f t="shared" si="22"/>
        <v>0.5815522897</v>
      </c>
      <c r="BI11" s="52">
        <f t="shared" si="22"/>
        <v>0.8495239872</v>
      </c>
      <c r="BJ11" s="52">
        <f t="shared" si="22"/>
        <v>0.8244461861</v>
      </c>
      <c r="BK11" s="52">
        <v>0.9</v>
      </c>
      <c r="BL11" s="53"/>
      <c r="BM11" s="99"/>
      <c r="BN11" s="51" t="s">
        <v>76</v>
      </c>
      <c r="BO11" s="53" t="str">
        <f t="shared" ref="BO11:BS11" si="23">BO9/BO8</f>
        <v>#REF!</v>
      </c>
      <c r="BP11" s="52" t="str">
        <f t="shared" si="23"/>
        <v>#REF!</v>
      </c>
      <c r="BQ11" s="52" t="str">
        <f t="shared" si="23"/>
        <v>#REF!</v>
      </c>
      <c r="BR11" s="52" t="str">
        <f t="shared" si="23"/>
        <v>#REF!</v>
      </c>
      <c r="BS11" s="52" t="str">
        <f t="shared" si="23"/>
        <v>#REF!</v>
      </c>
      <c r="BT11" s="52">
        <v>0.9</v>
      </c>
      <c r="BU11" s="53"/>
      <c r="BV11" s="99"/>
      <c r="BW11" s="51" t="s">
        <v>76</v>
      </c>
      <c r="BX11" s="53">
        <f t="shared" ref="BX11:CB11" si="24">BX9/BX8</f>
        <v>0.4050385005</v>
      </c>
      <c r="BY11" s="52">
        <f t="shared" si="24"/>
        <v>0.6971576194</v>
      </c>
      <c r="BZ11" s="52">
        <f t="shared" si="24"/>
        <v>0.5815522897</v>
      </c>
      <c r="CA11" s="52">
        <f t="shared" si="24"/>
        <v>0.8495239872</v>
      </c>
      <c r="CB11" s="52">
        <f t="shared" si="24"/>
        <v>0.8244461861</v>
      </c>
      <c r="CC11" s="52">
        <v>0.9</v>
      </c>
      <c r="CD11" s="53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99"/>
      <c r="DA11" s="99"/>
      <c r="DB11" s="99"/>
      <c r="DC11" s="99"/>
      <c r="DD11" s="99"/>
      <c r="DE11" s="99"/>
      <c r="DF11" s="99"/>
      <c r="DG11" s="99"/>
      <c r="DH11" s="99"/>
      <c r="DI11" s="99"/>
      <c r="DJ11" s="146"/>
    </row>
    <row r="12" ht="12.0" customHeight="1">
      <c r="A12" s="54"/>
      <c r="B12" s="162" t="str">
        <f>'SDDPL '!B12</f>
        <v>Milk Received - Actual Vol</v>
      </c>
      <c r="C12" s="56">
        <v>1317779.9999999998</v>
      </c>
      <c r="D12" s="56">
        <v>1199000.0</v>
      </c>
      <c r="E12" s="56">
        <v>1414830.9999999998</v>
      </c>
      <c r="F12" s="56">
        <v>1422005.0000000002</v>
      </c>
      <c r="G12" s="56">
        <v>1497512.0000000002</v>
      </c>
      <c r="H12" s="56">
        <v>1444098.0</v>
      </c>
      <c r="I12" s="56">
        <v>1441281.0</v>
      </c>
      <c r="J12" s="56">
        <v>1401985.0000000002</v>
      </c>
      <c r="K12" s="56">
        <v>1368461.9999999998</v>
      </c>
      <c r="L12" s="56">
        <v>1457678.9999999998</v>
      </c>
      <c r="M12" s="56">
        <v>1505031.0000000005</v>
      </c>
      <c r="N12" s="56">
        <v>1572099.9999999995</v>
      </c>
      <c r="O12" s="56">
        <f>SUM(C12:N12)</f>
        <v>17041764</v>
      </c>
      <c r="P12" s="56">
        <v>1640653.0</v>
      </c>
      <c r="Q12" s="56">
        <v>1510075.0</v>
      </c>
      <c r="R12" s="56">
        <v>1779191.0000000002</v>
      </c>
      <c r="S12" s="56">
        <v>1806298.0000000005</v>
      </c>
      <c r="T12" s="56">
        <v>1876558.0</v>
      </c>
      <c r="U12" s="56">
        <v>1783158.0000000002</v>
      </c>
      <c r="V12" s="56">
        <v>1726492.9999999998</v>
      </c>
      <c r="W12" s="56">
        <v>1591247.0</v>
      </c>
      <c r="X12" s="56">
        <v>1813306.0</v>
      </c>
      <c r="Y12" s="56">
        <v>1963072.0</v>
      </c>
      <c r="Z12" s="56">
        <v>1999761.0</v>
      </c>
      <c r="AA12" s="56">
        <v>2105529.0</v>
      </c>
      <c r="AB12" s="56">
        <f t="shared" si="25"/>
        <v>21595341</v>
      </c>
      <c r="AC12" s="56">
        <v>2089152.0</v>
      </c>
      <c r="AD12" s="56">
        <v>1889905.0</v>
      </c>
      <c r="AE12" s="56">
        <v>1937752.0</v>
      </c>
      <c r="AF12" s="56">
        <v>1929453.0</v>
      </c>
      <c r="AG12" s="56">
        <v>2065949.0</v>
      </c>
      <c r="AH12" s="56">
        <v>1987332.0</v>
      </c>
      <c r="AI12" s="56">
        <v>1947293.0</v>
      </c>
      <c r="AJ12" s="56">
        <v>1877716.0</v>
      </c>
      <c r="AK12" s="56">
        <v>1849847.0</v>
      </c>
      <c r="AL12" s="56">
        <v>1974198.0</v>
      </c>
      <c r="AM12" s="56">
        <v>1944733.0</v>
      </c>
      <c r="AN12" s="56">
        <v>2002211.0</v>
      </c>
      <c r="AO12" s="56">
        <f t="shared" si="26"/>
        <v>23495541</v>
      </c>
      <c r="AP12" s="56">
        <v>2003734.0</v>
      </c>
      <c r="AQ12" s="56">
        <v>1779544.0</v>
      </c>
      <c r="AR12" s="56">
        <v>1972397.0</v>
      </c>
      <c r="AS12" s="56">
        <v>1999289.0</v>
      </c>
      <c r="AT12" s="56">
        <v>2109770.0</v>
      </c>
      <c r="AU12" s="56">
        <v>1896111.0</v>
      </c>
      <c r="AV12" s="59"/>
      <c r="AW12" s="56"/>
      <c r="AX12" s="56"/>
      <c r="AY12" s="56"/>
      <c r="AZ12" s="56"/>
      <c r="BA12" s="56"/>
      <c r="BB12" s="56">
        <f t="shared" si="27"/>
        <v>11760845</v>
      </c>
      <c r="BC12" s="16">
        <f t="shared" ref="BC12:BC13" si="29">SUM(AC12:AE12)</f>
        <v>5916809</v>
      </c>
      <c r="BD12" s="16">
        <f t="shared" ref="BD12:BD13" si="30">SUM(AF12:AH12)</f>
        <v>5982734</v>
      </c>
      <c r="BE12" s="60" t="s">
        <v>78</v>
      </c>
      <c r="BF12" s="4"/>
      <c r="BG12" s="4"/>
      <c r="BH12" s="4"/>
      <c r="BI12" s="4"/>
      <c r="BJ12" s="4"/>
      <c r="BK12" s="4"/>
      <c r="BL12" s="4"/>
      <c r="BM12" s="99"/>
      <c r="BN12" s="60" t="s">
        <v>78</v>
      </c>
      <c r="BO12" s="4"/>
      <c r="BP12" s="4"/>
      <c r="BQ12" s="4"/>
      <c r="BR12" s="4"/>
      <c r="BS12" s="4"/>
      <c r="BT12" s="4"/>
      <c r="BU12" s="4"/>
      <c r="BV12" s="99"/>
      <c r="BW12" s="60" t="s">
        <v>78</v>
      </c>
      <c r="BX12" s="4"/>
      <c r="BY12" s="4"/>
      <c r="BZ12" s="4"/>
      <c r="CA12" s="4"/>
      <c r="CB12" s="4"/>
      <c r="CC12" s="4"/>
      <c r="CD12" s="4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146"/>
    </row>
    <row r="13" ht="12.0" customHeight="1">
      <c r="A13" s="54"/>
      <c r="B13" s="91" t="str">
        <f>'SDDPL '!B13</f>
        <v>Milk Received per day</v>
      </c>
      <c r="C13" s="37">
        <f t="shared" ref="C13:BB13" si="28">C12/C7</f>
        <v>42509.03226</v>
      </c>
      <c r="D13" s="37">
        <f t="shared" si="28"/>
        <v>42821.42857</v>
      </c>
      <c r="E13" s="37">
        <f t="shared" si="28"/>
        <v>45639.70968</v>
      </c>
      <c r="F13" s="37">
        <f t="shared" si="28"/>
        <v>47400.16667</v>
      </c>
      <c r="G13" s="37">
        <f t="shared" si="28"/>
        <v>48306.83871</v>
      </c>
      <c r="H13" s="37">
        <f t="shared" si="28"/>
        <v>48136.6</v>
      </c>
      <c r="I13" s="37">
        <f t="shared" si="28"/>
        <v>46492.93548</v>
      </c>
      <c r="J13" s="37">
        <f t="shared" si="28"/>
        <v>45225.32258</v>
      </c>
      <c r="K13" s="37">
        <f t="shared" si="28"/>
        <v>45615.4</v>
      </c>
      <c r="L13" s="37">
        <f t="shared" si="28"/>
        <v>47021.90323</v>
      </c>
      <c r="M13" s="37">
        <f t="shared" si="28"/>
        <v>50167.7</v>
      </c>
      <c r="N13" s="37">
        <f t="shared" si="28"/>
        <v>50712.90323</v>
      </c>
      <c r="O13" s="73">
        <f t="shared" si="28"/>
        <v>46689.76438</v>
      </c>
      <c r="P13" s="37">
        <f t="shared" si="28"/>
        <v>52924.29032</v>
      </c>
      <c r="Q13" s="37">
        <f t="shared" si="28"/>
        <v>53931.25</v>
      </c>
      <c r="R13" s="37">
        <f t="shared" si="28"/>
        <v>57393.25806</v>
      </c>
      <c r="S13" s="37">
        <f t="shared" si="28"/>
        <v>60209.93333</v>
      </c>
      <c r="T13" s="37">
        <f t="shared" si="28"/>
        <v>60534.12903</v>
      </c>
      <c r="U13" s="37">
        <f t="shared" si="28"/>
        <v>59438.6</v>
      </c>
      <c r="V13" s="37">
        <f t="shared" si="28"/>
        <v>55693.32258</v>
      </c>
      <c r="W13" s="37">
        <f t="shared" si="28"/>
        <v>51330.54839</v>
      </c>
      <c r="X13" s="37">
        <f t="shared" si="28"/>
        <v>60443.53333</v>
      </c>
      <c r="Y13" s="37">
        <f t="shared" si="28"/>
        <v>63324.90323</v>
      </c>
      <c r="Z13" s="37">
        <f t="shared" si="28"/>
        <v>66658.7</v>
      </c>
      <c r="AA13" s="37">
        <f t="shared" si="28"/>
        <v>67920.29032</v>
      </c>
      <c r="AB13" s="73">
        <f t="shared" si="28"/>
        <v>59165.31781</v>
      </c>
      <c r="AC13" s="37">
        <f t="shared" si="28"/>
        <v>67392</v>
      </c>
      <c r="AD13" s="37">
        <f t="shared" si="28"/>
        <v>65169.13793</v>
      </c>
      <c r="AE13" s="37">
        <f t="shared" si="28"/>
        <v>62508.12903</v>
      </c>
      <c r="AF13" s="37">
        <f t="shared" si="28"/>
        <v>64315.1</v>
      </c>
      <c r="AG13" s="37">
        <f t="shared" si="28"/>
        <v>66643.51613</v>
      </c>
      <c r="AH13" s="37">
        <f t="shared" si="28"/>
        <v>66244.4</v>
      </c>
      <c r="AI13" s="37">
        <f t="shared" si="28"/>
        <v>62815.90323</v>
      </c>
      <c r="AJ13" s="37">
        <f t="shared" si="28"/>
        <v>60571.48387</v>
      </c>
      <c r="AK13" s="37">
        <f t="shared" si="28"/>
        <v>61661.56667</v>
      </c>
      <c r="AL13" s="37">
        <f t="shared" si="28"/>
        <v>63683.80645</v>
      </c>
      <c r="AM13" s="37">
        <f t="shared" si="28"/>
        <v>64824.43333</v>
      </c>
      <c r="AN13" s="37">
        <f t="shared" si="28"/>
        <v>64587.45161</v>
      </c>
      <c r="AO13" s="73">
        <f t="shared" si="28"/>
        <v>64195.46721</v>
      </c>
      <c r="AP13" s="37">
        <f t="shared" si="28"/>
        <v>64636.58065</v>
      </c>
      <c r="AQ13" s="37">
        <f t="shared" si="28"/>
        <v>63555.14286</v>
      </c>
      <c r="AR13" s="37">
        <f t="shared" si="28"/>
        <v>63625.70968</v>
      </c>
      <c r="AS13" s="37">
        <f t="shared" si="28"/>
        <v>66642.96667</v>
      </c>
      <c r="AT13" s="37">
        <f t="shared" si="28"/>
        <v>68057.09677</v>
      </c>
      <c r="AU13" s="37">
        <f t="shared" si="28"/>
        <v>63203.7</v>
      </c>
      <c r="AV13" s="37">
        <f t="shared" si="28"/>
        <v>0</v>
      </c>
      <c r="AW13" s="37">
        <f t="shared" si="28"/>
        <v>0</v>
      </c>
      <c r="AX13" s="37">
        <f t="shared" si="28"/>
        <v>0</v>
      </c>
      <c r="AY13" s="37">
        <f t="shared" si="28"/>
        <v>0</v>
      </c>
      <c r="AZ13" s="37">
        <f t="shared" si="28"/>
        <v>0</v>
      </c>
      <c r="BA13" s="37">
        <f t="shared" si="28"/>
        <v>0</v>
      </c>
      <c r="BB13" s="73">
        <f t="shared" si="28"/>
        <v>64977.0442</v>
      </c>
      <c r="BC13" s="16">
        <f t="shared" si="29"/>
        <v>195069.267</v>
      </c>
      <c r="BD13" s="16">
        <f t="shared" si="30"/>
        <v>197203.0161</v>
      </c>
      <c r="BE13" s="146"/>
      <c r="BM13" s="99"/>
      <c r="BN13" s="146"/>
      <c r="BV13" s="99"/>
      <c r="BW13" s="146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146"/>
    </row>
    <row r="14" ht="12.0" customHeight="1">
      <c r="A14" s="54"/>
      <c r="B14" s="163" t="str">
        <f>'SDDPL '!B14</f>
        <v>Milk Utilization % - PLAN</v>
      </c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4">
        <v>0.82</v>
      </c>
      <c r="Q14" s="164">
        <f t="shared" ref="Q14:X14" si="31">P14+0.5%</f>
        <v>0.825</v>
      </c>
      <c r="R14" s="164">
        <f t="shared" si="31"/>
        <v>0.83</v>
      </c>
      <c r="S14" s="164">
        <f t="shared" si="31"/>
        <v>0.835</v>
      </c>
      <c r="T14" s="164">
        <f t="shared" si="31"/>
        <v>0.84</v>
      </c>
      <c r="U14" s="164">
        <f t="shared" si="31"/>
        <v>0.845</v>
      </c>
      <c r="V14" s="164">
        <f t="shared" si="31"/>
        <v>0.85</v>
      </c>
      <c r="W14" s="164">
        <f t="shared" si="31"/>
        <v>0.855</v>
      </c>
      <c r="X14" s="164">
        <f t="shared" si="31"/>
        <v>0.86</v>
      </c>
      <c r="Y14" s="164">
        <f t="shared" ref="Y14:AA14" si="32">X14+1%</f>
        <v>0.87</v>
      </c>
      <c r="Z14" s="164">
        <f t="shared" si="32"/>
        <v>0.88</v>
      </c>
      <c r="AA14" s="164">
        <f t="shared" si="32"/>
        <v>0.89</v>
      </c>
      <c r="AB14" s="164">
        <f>AVERAGE(P14:AA14)</f>
        <v>0.85</v>
      </c>
      <c r="AC14" s="164">
        <v>0.85</v>
      </c>
      <c r="AD14" s="164">
        <v>0.83</v>
      </c>
      <c r="AE14" s="164">
        <v>0.87</v>
      </c>
      <c r="AF14" s="164">
        <v>0.87</v>
      </c>
      <c r="AG14" s="164">
        <v>0.89</v>
      </c>
      <c r="AH14" s="164">
        <v>0.85</v>
      </c>
      <c r="AI14" s="164">
        <v>0.87</v>
      </c>
      <c r="AJ14" s="164">
        <v>0.88</v>
      </c>
      <c r="AK14" s="164">
        <v>0.85</v>
      </c>
      <c r="AL14" s="164">
        <v>0.86</v>
      </c>
      <c r="AM14" s="164">
        <v>0.88</v>
      </c>
      <c r="AN14" s="164">
        <v>0.9</v>
      </c>
      <c r="AO14" s="164">
        <v>0.87</v>
      </c>
      <c r="AP14" s="164">
        <f t="shared" ref="AP14:BA14" si="33">AO14+0.5%</f>
        <v>0.875</v>
      </c>
      <c r="AQ14" s="164">
        <f t="shared" si="33"/>
        <v>0.88</v>
      </c>
      <c r="AR14" s="164">
        <f t="shared" si="33"/>
        <v>0.885</v>
      </c>
      <c r="AS14" s="164">
        <f t="shared" si="33"/>
        <v>0.89</v>
      </c>
      <c r="AT14" s="164">
        <f t="shared" si="33"/>
        <v>0.895</v>
      </c>
      <c r="AU14" s="164">
        <f t="shared" si="33"/>
        <v>0.9</v>
      </c>
      <c r="AV14" s="164">
        <f t="shared" si="33"/>
        <v>0.905</v>
      </c>
      <c r="AW14" s="164">
        <f t="shared" si="33"/>
        <v>0.91</v>
      </c>
      <c r="AX14" s="164">
        <f t="shared" si="33"/>
        <v>0.915</v>
      </c>
      <c r="AY14" s="164">
        <f t="shared" si="33"/>
        <v>0.92</v>
      </c>
      <c r="AZ14" s="164">
        <f t="shared" si="33"/>
        <v>0.925</v>
      </c>
      <c r="BA14" s="164">
        <f t="shared" si="33"/>
        <v>0.93</v>
      </c>
      <c r="BB14" s="164">
        <f>AVERAGE(AP14:BA14)</f>
        <v>0.9025</v>
      </c>
      <c r="BC14" s="66">
        <f>AVERAGE(AC14:AE14)</f>
        <v>0.85</v>
      </c>
      <c r="BD14" s="66">
        <f>AVERAGE(AF14:AH14)</f>
        <v>0.87</v>
      </c>
      <c r="BE14" s="46"/>
      <c r="BF14" s="33" t="s">
        <v>55</v>
      </c>
      <c r="BG14" s="34" t="s">
        <v>56</v>
      </c>
      <c r="BH14" s="22"/>
      <c r="BI14" s="33" t="s">
        <v>57</v>
      </c>
      <c r="BJ14" s="33"/>
      <c r="BK14" s="33" t="s">
        <v>58</v>
      </c>
      <c r="BL14" s="33"/>
      <c r="BM14" s="165"/>
      <c r="BN14" s="46"/>
      <c r="BO14" s="33" t="s">
        <v>55</v>
      </c>
      <c r="BP14" s="34" t="s">
        <v>56</v>
      </c>
      <c r="BQ14" s="22"/>
      <c r="BR14" s="33" t="s">
        <v>57</v>
      </c>
      <c r="BS14" s="33"/>
      <c r="BT14" s="33" t="s">
        <v>58</v>
      </c>
      <c r="BU14" s="33"/>
      <c r="BV14" s="165"/>
      <c r="BW14" s="46"/>
      <c r="BX14" s="33" t="s">
        <v>55</v>
      </c>
      <c r="BY14" s="34" t="s">
        <v>56</v>
      </c>
      <c r="BZ14" s="22"/>
      <c r="CA14" s="33" t="s">
        <v>57</v>
      </c>
      <c r="CB14" s="33"/>
      <c r="CC14" s="33" t="s">
        <v>58</v>
      </c>
      <c r="CD14" s="33"/>
      <c r="CE14" s="165"/>
      <c r="CF14" s="165"/>
      <c r="CG14" s="165"/>
      <c r="CH14" s="165"/>
      <c r="CI14" s="165"/>
      <c r="CJ14" s="165"/>
      <c r="CK14" s="165"/>
      <c r="CL14" s="165"/>
      <c r="CM14" s="165"/>
      <c r="CN14" s="165"/>
      <c r="CO14" s="165"/>
      <c r="CP14" s="165"/>
      <c r="CQ14" s="165"/>
      <c r="CR14" s="165"/>
      <c r="CS14" s="165"/>
      <c r="CT14" s="165"/>
      <c r="CU14" s="165"/>
      <c r="CV14" s="165"/>
      <c r="CW14" s="165"/>
      <c r="CX14" s="165"/>
      <c r="CY14" s="165"/>
      <c r="CZ14" s="165"/>
      <c r="DA14" s="165"/>
      <c r="DB14" s="165"/>
      <c r="DC14" s="165"/>
      <c r="DD14" s="165"/>
      <c r="DE14" s="165"/>
      <c r="DF14" s="165"/>
      <c r="DG14" s="165"/>
      <c r="DH14" s="165"/>
      <c r="DI14" s="165"/>
      <c r="DJ14" s="166"/>
      <c r="DK14" s="166"/>
      <c r="DL14" s="166"/>
      <c r="DM14" s="166"/>
      <c r="DN14" s="166"/>
      <c r="DO14" s="166"/>
      <c r="DP14" s="166"/>
      <c r="DQ14" s="166"/>
      <c r="DR14" s="166"/>
      <c r="DT14" s="166"/>
      <c r="DU14" s="166"/>
      <c r="DV14" s="166"/>
      <c r="DW14" s="166"/>
      <c r="DX14" s="166"/>
      <c r="DY14" s="166"/>
      <c r="DZ14" s="166"/>
    </row>
    <row r="15" ht="12.0" customHeight="1">
      <c r="A15" s="67"/>
      <c r="B15" s="162" t="str">
        <f>'SDDPL '!B15</f>
        <v>Milk Utilization % - ACTUAL</v>
      </c>
      <c r="C15" s="53">
        <f t="shared" ref="C15:BD15" si="34">C13/C9</f>
        <v>0.7026286324</v>
      </c>
      <c r="D15" s="53">
        <f t="shared" si="34"/>
        <v>0.7077922078</v>
      </c>
      <c r="E15" s="53">
        <f t="shared" si="34"/>
        <v>0.7543753666</v>
      </c>
      <c r="F15" s="53">
        <f t="shared" si="34"/>
        <v>0.7834738292</v>
      </c>
      <c r="G15" s="53">
        <f t="shared" si="34"/>
        <v>0.798460144</v>
      </c>
      <c r="H15" s="53">
        <f t="shared" si="34"/>
        <v>0.795646281</v>
      </c>
      <c r="I15" s="53">
        <f t="shared" si="34"/>
        <v>0.7684782725</v>
      </c>
      <c r="J15" s="53">
        <f t="shared" si="34"/>
        <v>0.7475259931</v>
      </c>
      <c r="K15" s="53">
        <f t="shared" si="34"/>
        <v>0.7539735537</v>
      </c>
      <c r="L15" s="53">
        <f t="shared" si="34"/>
        <v>0.7772215409</v>
      </c>
      <c r="M15" s="53">
        <f t="shared" si="34"/>
        <v>0.8292181818</v>
      </c>
      <c r="N15" s="53">
        <f t="shared" si="34"/>
        <v>0.8382298054</v>
      </c>
      <c r="O15" s="53">
        <f t="shared" si="34"/>
        <v>0.7717316427</v>
      </c>
      <c r="P15" s="53">
        <f t="shared" si="34"/>
        <v>0.8747816582</v>
      </c>
      <c r="Q15" s="53">
        <f t="shared" si="34"/>
        <v>0.8914256198</v>
      </c>
      <c r="R15" s="53">
        <f t="shared" si="34"/>
        <v>0.9486488936</v>
      </c>
      <c r="S15" s="53">
        <f t="shared" si="34"/>
        <v>0.9952055096</v>
      </c>
      <c r="T15" s="53">
        <f t="shared" si="34"/>
        <v>1.000564116</v>
      </c>
      <c r="U15" s="53">
        <f t="shared" si="34"/>
        <v>0.9824561983</v>
      </c>
      <c r="V15" s="53">
        <f t="shared" si="34"/>
        <v>0.9205507865</v>
      </c>
      <c r="W15" s="53">
        <f t="shared" si="34"/>
        <v>0.8484388163</v>
      </c>
      <c r="X15" s="53">
        <f t="shared" si="34"/>
        <v>0.7901115468</v>
      </c>
      <c r="Y15" s="53">
        <f t="shared" si="34"/>
        <v>0.8277765128</v>
      </c>
      <c r="Z15" s="53">
        <f t="shared" si="34"/>
        <v>0.8713555556</v>
      </c>
      <c r="AA15" s="53">
        <f t="shared" si="34"/>
        <v>0.8878469323</v>
      </c>
      <c r="AB15" s="53">
        <f t="shared" si="34"/>
        <v>0.8987136882</v>
      </c>
      <c r="AC15" s="53">
        <f t="shared" si="34"/>
        <v>0.8809411765</v>
      </c>
      <c r="AD15" s="53">
        <f t="shared" si="34"/>
        <v>0.851884156</v>
      </c>
      <c r="AE15" s="53">
        <f t="shared" si="34"/>
        <v>0.8170997259</v>
      </c>
      <c r="AF15" s="53">
        <f t="shared" si="34"/>
        <v>0.8407202614</v>
      </c>
      <c r="AG15" s="53">
        <f t="shared" si="34"/>
        <v>0.8711570736</v>
      </c>
      <c r="AH15" s="53">
        <f t="shared" si="34"/>
        <v>0.8659398693</v>
      </c>
      <c r="AI15" s="53">
        <f t="shared" si="34"/>
        <v>0.821122918</v>
      </c>
      <c r="AJ15" s="53">
        <f t="shared" si="34"/>
        <v>0.7917841029</v>
      </c>
      <c r="AK15" s="53">
        <f t="shared" si="34"/>
        <v>0.8060335512</v>
      </c>
      <c r="AL15" s="53">
        <f t="shared" si="34"/>
        <v>0.8112586809</v>
      </c>
      <c r="AM15" s="53">
        <f t="shared" si="34"/>
        <v>0.7857507071</v>
      </c>
      <c r="AN15" s="53">
        <f t="shared" si="34"/>
        <v>0.7828782014</v>
      </c>
      <c r="AO15" s="53">
        <f t="shared" si="34"/>
        <v>0.82655108</v>
      </c>
      <c r="AP15" s="53">
        <f t="shared" si="34"/>
        <v>0.7834737048</v>
      </c>
      <c r="AQ15" s="53">
        <f t="shared" si="34"/>
        <v>0.770365368</v>
      </c>
      <c r="AR15" s="53">
        <f t="shared" si="34"/>
        <v>0.7712207234</v>
      </c>
      <c r="AS15" s="53">
        <f t="shared" si="34"/>
        <v>0.8330370833</v>
      </c>
      <c r="AT15" s="53">
        <f t="shared" si="34"/>
        <v>0.8507137097</v>
      </c>
      <c r="AU15" s="53">
        <f t="shared" si="34"/>
        <v>0.79004625</v>
      </c>
      <c r="AV15" s="53">
        <f t="shared" si="34"/>
        <v>0</v>
      </c>
      <c r="AW15" s="53">
        <f t="shared" si="34"/>
        <v>0</v>
      </c>
      <c r="AX15" s="53">
        <f t="shared" si="34"/>
        <v>0</v>
      </c>
      <c r="AY15" s="53">
        <f t="shared" si="34"/>
        <v>0</v>
      </c>
      <c r="AZ15" s="53">
        <f t="shared" si="34"/>
        <v>0</v>
      </c>
      <c r="BA15" s="53">
        <f t="shared" si="34"/>
        <v>0</v>
      </c>
      <c r="BB15" s="53">
        <f t="shared" si="34"/>
        <v>0.7997174671</v>
      </c>
      <c r="BC15" s="66">
        <f t="shared" si="34"/>
        <v>0.8499750194</v>
      </c>
      <c r="BD15" s="66">
        <f t="shared" si="34"/>
        <v>0.8592724014</v>
      </c>
      <c r="BE15" s="158" t="s">
        <v>83</v>
      </c>
      <c r="BF15" s="43" t="s">
        <v>84</v>
      </c>
      <c r="BG15" s="94" t="s">
        <v>62</v>
      </c>
      <c r="BH15" s="29" t="s">
        <v>63</v>
      </c>
      <c r="BI15" s="95" t="s">
        <v>62</v>
      </c>
      <c r="BJ15" s="43" t="s">
        <v>63</v>
      </c>
      <c r="BK15" s="95" t="s">
        <v>62</v>
      </c>
      <c r="BL15" s="43" t="s">
        <v>63</v>
      </c>
      <c r="BM15" s="167">
        <f>AVERAGE(AP15:AS15)</f>
        <v>0.7895242199</v>
      </c>
      <c r="BN15" s="158" t="s">
        <v>83</v>
      </c>
      <c r="BO15" s="43" t="s">
        <v>84</v>
      </c>
      <c r="BP15" s="94" t="s">
        <v>62</v>
      </c>
      <c r="BQ15" s="29" t="s">
        <v>63</v>
      </c>
      <c r="BR15" s="95" t="s">
        <v>62</v>
      </c>
      <c r="BS15" s="43" t="s">
        <v>63</v>
      </c>
      <c r="BT15" s="95" t="s">
        <v>62</v>
      </c>
      <c r="BU15" s="43" t="s">
        <v>63</v>
      </c>
      <c r="BV15" s="165"/>
      <c r="BW15" s="158" t="s">
        <v>83</v>
      </c>
      <c r="BX15" s="43" t="s">
        <v>84</v>
      </c>
      <c r="BY15" s="94" t="s">
        <v>62</v>
      </c>
      <c r="BZ15" s="29" t="s">
        <v>63</v>
      </c>
      <c r="CA15" s="95" t="s">
        <v>62</v>
      </c>
      <c r="CB15" s="43" t="s">
        <v>63</v>
      </c>
      <c r="CC15" s="95" t="s">
        <v>62</v>
      </c>
      <c r="CD15" s="43" t="s">
        <v>63</v>
      </c>
      <c r="CE15" s="165"/>
      <c r="CF15" s="165"/>
      <c r="CG15" s="165"/>
      <c r="CH15" s="165"/>
      <c r="CI15" s="165"/>
      <c r="CJ15" s="165"/>
      <c r="CK15" s="165"/>
      <c r="CL15" s="165"/>
      <c r="CM15" s="165"/>
      <c r="CN15" s="165"/>
      <c r="CO15" s="165"/>
      <c r="CP15" s="165"/>
      <c r="CQ15" s="165"/>
      <c r="CR15" s="165"/>
      <c r="CS15" s="165"/>
      <c r="CT15" s="165"/>
      <c r="CU15" s="165"/>
      <c r="CV15" s="165"/>
      <c r="CW15" s="165"/>
      <c r="CX15" s="165"/>
      <c r="CY15" s="165"/>
      <c r="CZ15" s="165"/>
      <c r="DA15" s="165"/>
      <c r="DB15" s="165"/>
      <c r="DC15" s="165"/>
      <c r="DD15" s="165"/>
      <c r="DE15" s="165"/>
      <c r="DF15" s="165"/>
      <c r="DG15" s="165"/>
      <c r="DH15" s="165"/>
      <c r="DI15" s="165"/>
      <c r="DJ15" s="146"/>
    </row>
    <row r="16" ht="12.0" customHeight="1">
      <c r="A16" s="6"/>
      <c r="B16" s="91" t="s">
        <v>140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73"/>
      <c r="P16" s="37"/>
      <c r="Q16" s="37"/>
      <c r="R16" s="37"/>
      <c r="S16" s="37"/>
      <c r="T16" s="37"/>
      <c r="U16" s="37"/>
      <c r="V16" s="37"/>
      <c r="W16" s="37">
        <f t="shared" ref="W16:AA16" si="35">W17*W12</f>
        <v>483420.8386</v>
      </c>
      <c r="X16" s="37">
        <f t="shared" si="35"/>
        <v>424316</v>
      </c>
      <c r="Y16" s="37">
        <f t="shared" si="35"/>
        <v>492466</v>
      </c>
      <c r="Z16" s="37">
        <f t="shared" si="35"/>
        <v>355395.1724</v>
      </c>
      <c r="AA16" s="37">
        <f t="shared" si="35"/>
        <v>375326</v>
      </c>
      <c r="AB16" s="73"/>
      <c r="AC16" s="37">
        <f t="shared" ref="AC16:BA16" si="36">AC17*AC12</f>
        <v>361423.296</v>
      </c>
      <c r="AD16" s="37">
        <f t="shared" si="36"/>
        <v>251168.3745</v>
      </c>
      <c r="AE16" s="37">
        <f t="shared" si="36"/>
        <v>271285.28</v>
      </c>
      <c r="AF16" s="37">
        <f t="shared" si="36"/>
        <v>392598.6593</v>
      </c>
      <c r="AG16" s="37">
        <f t="shared" si="36"/>
        <v>380843</v>
      </c>
      <c r="AH16" s="37">
        <f t="shared" si="36"/>
        <v>332964</v>
      </c>
      <c r="AI16" s="37">
        <f t="shared" si="36"/>
        <v>367572</v>
      </c>
      <c r="AJ16" s="37">
        <f t="shared" si="36"/>
        <v>342936</v>
      </c>
      <c r="AK16" s="37">
        <f t="shared" si="36"/>
        <v>288680</v>
      </c>
      <c r="AL16" s="37">
        <f t="shared" si="36"/>
        <v>304661</v>
      </c>
      <c r="AM16" s="37">
        <f t="shared" si="36"/>
        <v>241714</v>
      </c>
      <c r="AN16" s="37">
        <f t="shared" si="36"/>
        <v>89099</v>
      </c>
      <c r="AO16" s="73">
        <f t="shared" si="36"/>
        <v>3625807.183</v>
      </c>
      <c r="AP16" s="37">
        <f t="shared" si="36"/>
        <v>116825</v>
      </c>
      <c r="AQ16" s="37">
        <f t="shared" si="36"/>
        <v>138594</v>
      </c>
      <c r="AR16" s="37">
        <f t="shared" si="36"/>
        <v>177838</v>
      </c>
      <c r="AS16" s="37">
        <f t="shared" si="36"/>
        <v>218134</v>
      </c>
      <c r="AT16" s="37">
        <f t="shared" si="36"/>
        <v>167129</v>
      </c>
      <c r="AU16" s="37">
        <f t="shared" si="36"/>
        <v>254680</v>
      </c>
      <c r="AV16" s="37">
        <f t="shared" si="36"/>
        <v>0</v>
      </c>
      <c r="AW16" s="37">
        <f t="shared" si="36"/>
        <v>0</v>
      </c>
      <c r="AX16" s="37">
        <f t="shared" si="36"/>
        <v>0</v>
      </c>
      <c r="AY16" s="37">
        <f t="shared" si="36"/>
        <v>0</v>
      </c>
      <c r="AZ16" s="37">
        <f t="shared" si="36"/>
        <v>0</v>
      </c>
      <c r="BA16" s="37">
        <f t="shared" si="36"/>
        <v>0</v>
      </c>
      <c r="BB16" s="73"/>
      <c r="BC16" s="2"/>
      <c r="BD16" s="2"/>
      <c r="BE16" s="46" t="s">
        <v>86</v>
      </c>
      <c r="BF16" s="41">
        <f>O9</f>
        <v>60500</v>
      </c>
      <c r="BG16" s="41">
        <f>AB9</f>
        <v>65833.33333</v>
      </c>
      <c r="BH16" s="41">
        <f>AB9</f>
        <v>65833.33333</v>
      </c>
      <c r="BI16" s="41">
        <f>AO9</f>
        <v>77666.66667</v>
      </c>
      <c r="BJ16" s="41">
        <f>AO9</f>
        <v>77666.66667</v>
      </c>
      <c r="BK16" s="41">
        <f>BB9</f>
        <v>81250</v>
      </c>
      <c r="BL16" s="41"/>
      <c r="BM16" s="99"/>
      <c r="BN16" s="46" t="s">
        <v>86</v>
      </c>
      <c r="BO16" s="41" t="str">
        <f>#REF!</f>
        <v>#REF!</v>
      </c>
      <c r="BP16" s="41" t="str">
        <f>AVERAGE(#REF!)</f>
        <v>#REF!</v>
      </c>
      <c r="BQ16" s="41" t="str">
        <f>BP16</f>
        <v>#REF!</v>
      </c>
      <c r="BR16" s="41" t="str">
        <f t="shared" ref="BR16:BS16" si="37">#REF!</f>
        <v>#REF!</v>
      </c>
      <c r="BS16" s="41" t="str">
        <f t="shared" si="37"/>
        <v>#REF!</v>
      </c>
      <c r="BT16" s="41">
        <v>76500.0</v>
      </c>
      <c r="BU16" s="41"/>
      <c r="BV16" s="99"/>
      <c r="BW16" s="46" t="s">
        <v>86</v>
      </c>
      <c r="BX16" s="41">
        <f>N9</f>
        <v>60500</v>
      </c>
      <c r="BY16" s="41">
        <f>AVERAGE(P9:AA9)</f>
        <v>65833.33333</v>
      </c>
      <c r="BZ16" s="41">
        <f>BY16</f>
        <v>65833.33333</v>
      </c>
      <c r="CA16" s="41">
        <f>AN9</f>
        <v>82500</v>
      </c>
      <c r="CB16" s="41">
        <f>AN9</f>
        <v>82500</v>
      </c>
      <c r="CC16" s="41">
        <v>76500.0</v>
      </c>
      <c r="CD16" s="41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146"/>
    </row>
    <row r="17" ht="12.0" customHeight="1">
      <c r="A17" s="6"/>
      <c r="B17" s="91" t="s">
        <v>85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73"/>
      <c r="P17" s="37"/>
      <c r="Q17" s="37"/>
      <c r="R17" s="37"/>
      <c r="S17" s="37"/>
      <c r="T17" s="37"/>
      <c r="U17" s="37"/>
      <c r="V17" s="37"/>
      <c r="W17" s="76">
        <v>0.3038</v>
      </c>
      <c r="X17" s="76">
        <v>0.23400132134344673</v>
      </c>
      <c r="Y17" s="76">
        <v>0.2508649708212434</v>
      </c>
      <c r="Z17" s="76">
        <v>0.17771882357956184</v>
      </c>
      <c r="AA17" s="76">
        <v>0.1782573405543215</v>
      </c>
      <c r="AB17" s="80"/>
      <c r="AC17" s="76">
        <v>0.173</v>
      </c>
      <c r="AD17" s="79">
        <v>0.1329</v>
      </c>
      <c r="AE17" s="76">
        <v>0.14</v>
      </c>
      <c r="AF17" s="76">
        <v>0.20347666372841175</v>
      </c>
      <c r="AG17" s="76">
        <v>0.1843428855213754</v>
      </c>
      <c r="AH17" s="76">
        <v>0.16754321874754696</v>
      </c>
      <c r="AI17" s="76">
        <v>0.18876049983233134</v>
      </c>
      <c r="AJ17" s="76">
        <v>0.18263464762509346</v>
      </c>
      <c r="AK17" s="74">
        <v>0.156056149508581</v>
      </c>
      <c r="AL17" s="74">
        <v>0.15432140038638475</v>
      </c>
      <c r="AM17" s="76">
        <v>0.12429161226759664</v>
      </c>
      <c r="AN17" s="76">
        <v>0.044500304912918766</v>
      </c>
      <c r="AO17" s="80">
        <f>AVERAGE(AC17:AN17)</f>
        <v>0.1543189485</v>
      </c>
      <c r="AP17" s="76">
        <v>0.05830364709088132</v>
      </c>
      <c r="AQ17" s="74">
        <v>0.07788174948188974</v>
      </c>
      <c r="AR17" s="74">
        <v>0.09016339002746404</v>
      </c>
      <c r="AS17" s="74">
        <v>0.10910578710731665</v>
      </c>
      <c r="AT17" s="74">
        <v>0.07921669186688596</v>
      </c>
      <c r="AU17" s="74">
        <v>0.13431703101769885</v>
      </c>
      <c r="AV17" s="74"/>
      <c r="AW17" s="74"/>
      <c r="AX17" s="74"/>
      <c r="AY17" s="74"/>
      <c r="AZ17" s="74"/>
      <c r="BA17" s="74"/>
      <c r="BB17" s="168"/>
      <c r="BC17" s="2"/>
      <c r="BD17" s="2"/>
      <c r="BE17" s="46" t="s">
        <v>88</v>
      </c>
      <c r="BF17" s="41">
        <f>O12</f>
        <v>17041764</v>
      </c>
      <c r="BG17" s="41">
        <f>AB11</f>
        <v>20481612.5</v>
      </c>
      <c r="BH17" s="41">
        <f>AB12</f>
        <v>21595341</v>
      </c>
      <c r="BI17" s="41">
        <f>AO11</f>
        <v>24651805</v>
      </c>
      <c r="BJ17" s="41">
        <f>AO12</f>
        <v>23495541</v>
      </c>
      <c r="BK17" s="41">
        <f>BB11</f>
        <v>26554800</v>
      </c>
      <c r="BL17" s="41"/>
      <c r="BM17" s="99"/>
      <c r="BN17" s="46" t="s">
        <v>66</v>
      </c>
      <c r="BO17" s="41" t="str">
        <f t="shared" ref="BO17:BS17" si="38">SUM(#REF!)</f>
        <v>#REF!</v>
      </c>
      <c r="BP17" s="41" t="str">
        <f t="shared" si="38"/>
        <v>#REF!</v>
      </c>
      <c r="BQ17" s="41" t="str">
        <f t="shared" si="38"/>
        <v>#REF!</v>
      </c>
      <c r="BR17" s="41" t="str">
        <f t="shared" si="38"/>
        <v>#REF!</v>
      </c>
      <c r="BS17" s="41" t="str">
        <f t="shared" si="38"/>
        <v>#REF!</v>
      </c>
      <c r="BT17" s="41">
        <f>BT18*365</f>
        <v>25130250</v>
      </c>
      <c r="BU17" s="41"/>
      <c r="BV17" s="99"/>
      <c r="BW17" s="46" t="s">
        <v>66</v>
      </c>
      <c r="BX17" s="41">
        <f>SUM(C12:N12)</f>
        <v>17041764</v>
      </c>
      <c r="BY17" s="41">
        <f>SUM(P11:AA11)</f>
        <v>20481612.5</v>
      </c>
      <c r="BZ17" s="41">
        <f>SUM(P12:AA12)</f>
        <v>21595341</v>
      </c>
      <c r="CA17" s="41">
        <f>SUM(AC11:AN11)</f>
        <v>24651805</v>
      </c>
      <c r="CB17" s="41">
        <f>SUM(AC12:AN12)</f>
        <v>23495541</v>
      </c>
      <c r="CC17" s="41">
        <f>CC18*365</f>
        <v>25130250</v>
      </c>
      <c r="CD17" s="41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146"/>
    </row>
    <row r="18" ht="12.0" customHeight="1">
      <c r="A18" s="6"/>
      <c r="B18" s="91" t="s">
        <v>141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73"/>
      <c r="P18" s="37"/>
      <c r="Q18" s="37"/>
      <c r="R18" s="37"/>
      <c r="S18" s="37"/>
      <c r="T18" s="37"/>
      <c r="U18" s="37"/>
      <c r="V18" s="37"/>
      <c r="W18" s="37">
        <f>W19*W12</f>
        <v>201770.1196</v>
      </c>
      <c r="X18" s="37"/>
      <c r="Y18" s="37"/>
      <c r="Z18" s="37">
        <v>1041.0</v>
      </c>
      <c r="AA18" s="37"/>
      <c r="AB18" s="73"/>
      <c r="AC18" s="37"/>
      <c r="AD18" s="37">
        <f t="shared" ref="AD18:BA18" si="39">AD19*AD12</f>
        <v>3212.8385</v>
      </c>
      <c r="AE18" s="37">
        <f t="shared" si="39"/>
        <v>193.7752</v>
      </c>
      <c r="AF18" s="37">
        <f t="shared" si="39"/>
        <v>0</v>
      </c>
      <c r="AG18" s="37">
        <f t="shared" si="39"/>
        <v>0</v>
      </c>
      <c r="AH18" s="37">
        <f t="shared" si="39"/>
        <v>0</v>
      </c>
      <c r="AI18" s="37">
        <f t="shared" si="39"/>
        <v>0</v>
      </c>
      <c r="AJ18" s="37">
        <f t="shared" si="39"/>
        <v>0</v>
      </c>
      <c r="AK18" s="37">
        <f t="shared" si="39"/>
        <v>0</v>
      </c>
      <c r="AL18" s="37">
        <f t="shared" si="39"/>
        <v>0</v>
      </c>
      <c r="AM18" s="37">
        <f t="shared" si="39"/>
        <v>0</v>
      </c>
      <c r="AN18" s="37">
        <f t="shared" si="39"/>
        <v>0</v>
      </c>
      <c r="AO18" s="73">
        <f t="shared" si="39"/>
        <v>3844.724891</v>
      </c>
      <c r="AP18" s="37">
        <f t="shared" si="39"/>
        <v>0</v>
      </c>
      <c r="AQ18" s="37">
        <f t="shared" si="39"/>
        <v>0</v>
      </c>
      <c r="AR18" s="37">
        <f t="shared" si="39"/>
        <v>0</v>
      </c>
      <c r="AS18" s="37">
        <f t="shared" si="39"/>
        <v>0</v>
      </c>
      <c r="AT18" s="37">
        <f t="shared" si="39"/>
        <v>0</v>
      </c>
      <c r="AU18" s="37">
        <f t="shared" si="39"/>
        <v>0</v>
      </c>
      <c r="AV18" s="37">
        <f t="shared" si="39"/>
        <v>0</v>
      </c>
      <c r="AW18" s="37">
        <f t="shared" si="39"/>
        <v>0</v>
      </c>
      <c r="AX18" s="37">
        <f t="shared" si="39"/>
        <v>0</v>
      </c>
      <c r="AY18" s="37">
        <f t="shared" si="39"/>
        <v>0</v>
      </c>
      <c r="AZ18" s="37">
        <f t="shared" si="39"/>
        <v>0</v>
      </c>
      <c r="BA18" s="37">
        <f t="shared" si="39"/>
        <v>0</v>
      </c>
      <c r="BB18" s="73"/>
      <c r="BC18" s="2"/>
      <c r="BD18" s="2"/>
      <c r="BE18" s="46" t="s">
        <v>90</v>
      </c>
      <c r="BF18" s="33">
        <f>BF17/O7</f>
        <v>46689.76438</v>
      </c>
      <c r="BG18" s="33">
        <f>BG17/AB7</f>
        <v>56114.00685</v>
      </c>
      <c r="BH18" s="33">
        <f>BH17/AB7</f>
        <v>59165.31781</v>
      </c>
      <c r="BI18" s="33">
        <f>BI17/AO7</f>
        <v>67354.65847</v>
      </c>
      <c r="BJ18" s="33">
        <f>BJ17/AO7</f>
        <v>64195.46721</v>
      </c>
      <c r="BK18" s="33">
        <f>BK17/BB7</f>
        <v>146711.6022</v>
      </c>
      <c r="BL18" s="33"/>
      <c r="BM18" s="99"/>
      <c r="BN18" s="46" t="s">
        <v>91</v>
      </c>
      <c r="BO18" s="33" t="str">
        <f t="shared" ref="BO18:BS18" si="40">BO17/365</f>
        <v>#REF!</v>
      </c>
      <c r="BP18" s="33" t="str">
        <f t="shared" si="40"/>
        <v>#REF!</v>
      </c>
      <c r="BQ18" s="33" t="str">
        <f t="shared" si="40"/>
        <v>#REF!</v>
      </c>
      <c r="BR18" s="33" t="str">
        <f t="shared" si="40"/>
        <v>#REF!</v>
      </c>
      <c r="BS18" s="33" t="str">
        <f t="shared" si="40"/>
        <v>#REF!</v>
      </c>
      <c r="BT18" s="33">
        <f>BT19*BT16</f>
        <v>68850</v>
      </c>
      <c r="BU18" s="33"/>
      <c r="BV18" s="99"/>
      <c r="BW18" s="46" t="s">
        <v>91</v>
      </c>
      <c r="BX18" s="33">
        <f t="shared" ref="BX18:CB18" si="41">BX17/365</f>
        <v>46689.76438</v>
      </c>
      <c r="BY18" s="33">
        <f t="shared" si="41"/>
        <v>56114.00685</v>
      </c>
      <c r="BZ18" s="33">
        <f t="shared" si="41"/>
        <v>59165.31781</v>
      </c>
      <c r="CA18" s="33">
        <f t="shared" si="41"/>
        <v>67539.19178</v>
      </c>
      <c r="CB18" s="33">
        <f t="shared" si="41"/>
        <v>64371.34521</v>
      </c>
      <c r="CC18" s="33">
        <f>CC19*CC16</f>
        <v>68850</v>
      </c>
      <c r="CD18" s="33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146"/>
      <c r="DV18" s="169" t="s">
        <v>142</v>
      </c>
      <c r="DW18" s="169" t="s">
        <v>143</v>
      </c>
      <c r="DX18" s="169" t="s">
        <v>144</v>
      </c>
      <c r="DY18" s="169" t="s">
        <v>145</v>
      </c>
      <c r="DZ18" s="170" t="s">
        <v>146</v>
      </c>
    </row>
    <row r="19" ht="12.0" customHeight="1">
      <c r="A19" s="6"/>
      <c r="B19" s="91" t="s">
        <v>89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73"/>
      <c r="P19" s="37"/>
      <c r="Q19" s="37"/>
      <c r="R19" s="37"/>
      <c r="S19" s="37"/>
      <c r="T19" s="37"/>
      <c r="U19" s="37"/>
      <c r="V19" s="37"/>
      <c r="W19" s="79">
        <v>0.1268</v>
      </c>
      <c r="X19" s="74"/>
      <c r="Y19" s="76"/>
      <c r="Z19" s="76">
        <f>Z18/Z12</f>
        <v>0.0005205622072</v>
      </c>
      <c r="AA19" s="76"/>
      <c r="AB19" s="80"/>
      <c r="AC19" s="76"/>
      <c r="AD19" s="76">
        <v>0.0017</v>
      </c>
      <c r="AE19" s="76">
        <v>1.0E-4</v>
      </c>
      <c r="AF19" s="76">
        <v>0.0</v>
      </c>
      <c r="AG19" s="76">
        <v>0.0</v>
      </c>
      <c r="AH19" s="76">
        <v>0.0</v>
      </c>
      <c r="AI19" s="76">
        <v>0.0</v>
      </c>
      <c r="AJ19" s="76">
        <v>0.0</v>
      </c>
      <c r="AK19" s="76">
        <v>0.0</v>
      </c>
      <c r="AL19" s="76">
        <v>0.0</v>
      </c>
      <c r="AM19" s="76">
        <v>0.0</v>
      </c>
      <c r="AN19" s="76">
        <v>0.0</v>
      </c>
      <c r="AO19" s="80">
        <f>AVERAGE(AC19:AN19)</f>
        <v>0.0001636363636</v>
      </c>
      <c r="AP19" s="76">
        <v>0.0</v>
      </c>
      <c r="AQ19" s="74">
        <v>0.0</v>
      </c>
      <c r="AR19" s="74">
        <v>0.0</v>
      </c>
      <c r="AS19" s="74">
        <v>0.0</v>
      </c>
      <c r="AT19" s="74">
        <v>0.0</v>
      </c>
      <c r="AU19" s="74">
        <v>0.0</v>
      </c>
      <c r="AV19" s="74"/>
      <c r="AW19" s="74"/>
      <c r="AX19" s="74"/>
      <c r="AY19" s="74"/>
      <c r="AZ19" s="74"/>
      <c r="BA19" s="74"/>
      <c r="BB19" s="168"/>
      <c r="BC19" s="2"/>
      <c r="BD19" s="2"/>
      <c r="BE19" s="51" t="s">
        <v>81</v>
      </c>
      <c r="BF19" s="52">
        <f t="shared" ref="BF19:BJ19" si="42">BF18/BF16</f>
        <v>0.7717316427</v>
      </c>
      <c r="BG19" s="52">
        <f t="shared" si="42"/>
        <v>0.852364661</v>
      </c>
      <c r="BH19" s="171">
        <f t="shared" si="42"/>
        <v>0.8987136882</v>
      </c>
      <c r="BI19" s="52">
        <f t="shared" si="42"/>
        <v>0.8672273623</v>
      </c>
      <c r="BJ19" s="52">
        <f t="shared" si="42"/>
        <v>0.82655108</v>
      </c>
      <c r="BK19" s="52">
        <v>0.9</v>
      </c>
      <c r="BL19" s="82"/>
      <c r="BM19" s="99"/>
      <c r="BN19" s="51" t="s">
        <v>81</v>
      </c>
      <c r="BO19" s="52" t="str">
        <f t="shared" ref="BO19:BS19" si="43">BO18/BO16</f>
        <v>#REF!</v>
      </c>
      <c r="BP19" s="52" t="str">
        <f t="shared" si="43"/>
        <v>#REF!</v>
      </c>
      <c r="BQ19" s="52" t="str">
        <f t="shared" si="43"/>
        <v>#REF!</v>
      </c>
      <c r="BR19" s="52" t="str">
        <f t="shared" si="43"/>
        <v>#REF!</v>
      </c>
      <c r="BS19" s="52" t="str">
        <f t="shared" si="43"/>
        <v>#REF!</v>
      </c>
      <c r="BT19" s="52">
        <v>0.9</v>
      </c>
      <c r="BU19" s="82"/>
      <c r="BV19" s="99"/>
      <c r="BW19" s="51" t="s">
        <v>81</v>
      </c>
      <c r="BX19" s="52">
        <f t="shared" ref="BX19:CB19" si="44">BX18/BX16</f>
        <v>0.7717316427</v>
      </c>
      <c r="BY19" s="52">
        <f t="shared" si="44"/>
        <v>0.852364661</v>
      </c>
      <c r="BZ19" s="52">
        <f t="shared" si="44"/>
        <v>0.8987136882</v>
      </c>
      <c r="CA19" s="52">
        <f t="shared" si="44"/>
        <v>0.8186568701</v>
      </c>
      <c r="CB19" s="52">
        <f t="shared" si="44"/>
        <v>0.7802587298</v>
      </c>
      <c r="CC19" s="52">
        <v>0.9</v>
      </c>
      <c r="CD19" s="82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146"/>
      <c r="DV19" s="169" t="s">
        <v>147</v>
      </c>
      <c r="DW19" s="169">
        <v>76000.0</v>
      </c>
      <c r="DX19" s="172">
        <v>0.7</v>
      </c>
      <c r="DY19" s="172">
        <v>0.9</v>
      </c>
      <c r="DZ19" s="169">
        <f t="shared" ref="DZ19:DZ21" si="47">DY19*DX19*DW19</f>
        <v>47880</v>
      </c>
    </row>
    <row r="20" ht="12.0" customHeight="1">
      <c r="A20" s="6"/>
      <c r="B20" s="91" t="s">
        <v>148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73"/>
      <c r="P20" s="37"/>
      <c r="Q20" s="37"/>
      <c r="R20" s="37"/>
      <c r="S20" s="37"/>
      <c r="T20" s="37"/>
      <c r="U20" s="37"/>
      <c r="V20" s="37"/>
      <c r="W20" s="37">
        <f t="shared" ref="W20:AA20" si="45">W21*W12</f>
        <v>212590.5992</v>
      </c>
      <c r="X20" s="37">
        <f t="shared" si="45"/>
        <v>20452</v>
      </c>
      <c r="Y20" s="37">
        <f t="shared" si="45"/>
        <v>40458</v>
      </c>
      <c r="Z20" s="37">
        <f t="shared" si="45"/>
        <v>5382.465672</v>
      </c>
      <c r="AA20" s="37">
        <f t="shared" si="45"/>
        <v>3224</v>
      </c>
      <c r="AB20" s="73"/>
      <c r="AC20" s="37">
        <f t="shared" ref="AC20:BA20" si="46">AC21*AC12</f>
        <v>7520.9472</v>
      </c>
      <c r="AD20" s="37">
        <f t="shared" si="46"/>
        <v>23245.8315</v>
      </c>
      <c r="AE20" s="37">
        <f t="shared" si="46"/>
        <v>51350.428</v>
      </c>
      <c r="AF20" s="37">
        <f t="shared" si="46"/>
        <v>56506.16883</v>
      </c>
      <c r="AG20" s="37">
        <f t="shared" si="46"/>
        <v>49146</v>
      </c>
      <c r="AH20" s="37">
        <f t="shared" si="46"/>
        <v>45492</v>
      </c>
      <c r="AI20" s="37">
        <f t="shared" si="46"/>
        <v>8745</v>
      </c>
      <c r="AJ20" s="37">
        <f t="shared" si="46"/>
        <v>51005</v>
      </c>
      <c r="AK20" s="37">
        <f t="shared" si="46"/>
        <v>38974</v>
      </c>
      <c r="AL20" s="37">
        <f t="shared" si="46"/>
        <v>43282</v>
      </c>
      <c r="AM20" s="37">
        <f t="shared" si="46"/>
        <v>58364</v>
      </c>
      <c r="AN20" s="37">
        <f t="shared" si="46"/>
        <v>23998</v>
      </c>
      <c r="AO20" s="73">
        <f t="shared" si="46"/>
        <v>460139.6678</v>
      </c>
      <c r="AP20" s="37">
        <f t="shared" si="46"/>
        <v>26337</v>
      </c>
      <c r="AQ20" s="37">
        <f t="shared" si="46"/>
        <v>37933</v>
      </c>
      <c r="AR20" s="37">
        <f t="shared" si="46"/>
        <v>59892</v>
      </c>
      <c r="AS20" s="37">
        <f t="shared" si="46"/>
        <v>46518</v>
      </c>
      <c r="AT20" s="37">
        <f t="shared" si="46"/>
        <v>44324</v>
      </c>
      <c r="AU20" s="37">
        <f t="shared" si="46"/>
        <v>75365</v>
      </c>
      <c r="AV20" s="37">
        <f t="shared" si="46"/>
        <v>0</v>
      </c>
      <c r="AW20" s="37">
        <f t="shared" si="46"/>
        <v>0</v>
      </c>
      <c r="AX20" s="37">
        <f t="shared" si="46"/>
        <v>0</v>
      </c>
      <c r="AY20" s="37">
        <f t="shared" si="46"/>
        <v>0</v>
      </c>
      <c r="AZ20" s="37">
        <f t="shared" si="46"/>
        <v>0</v>
      </c>
      <c r="BA20" s="37">
        <f t="shared" si="46"/>
        <v>0</v>
      </c>
      <c r="BB20" s="73"/>
      <c r="BC20" s="2"/>
      <c r="BD20" s="2"/>
      <c r="BE20" s="146"/>
      <c r="BM20" s="99"/>
      <c r="BN20" s="146"/>
      <c r="BV20" s="99"/>
      <c r="BW20" s="146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146"/>
      <c r="DV20" s="169" t="s">
        <v>149</v>
      </c>
      <c r="DW20" s="169">
        <v>76500.0</v>
      </c>
      <c r="DX20" s="172">
        <v>0.9</v>
      </c>
      <c r="DY20" s="172">
        <v>0.9</v>
      </c>
      <c r="DZ20" s="169">
        <f t="shared" si="47"/>
        <v>61965</v>
      </c>
    </row>
    <row r="21" ht="12.0" customHeight="1">
      <c r="A21" s="6"/>
      <c r="B21" s="91" t="s">
        <v>94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73"/>
      <c r="P21" s="37"/>
      <c r="Q21" s="37"/>
      <c r="R21" s="37"/>
      <c r="S21" s="37"/>
      <c r="T21" s="37"/>
      <c r="U21" s="37"/>
      <c r="V21" s="37"/>
      <c r="W21" s="76">
        <v>0.1336</v>
      </c>
      <c r="X21" s="76">
        <v>0.011278846482612421</v>
      </c>
      <c r="Y21" s="76">
        <v>0.020609534443973527</v>
      </c>
      <c r="Z21" s="76">
        <v>0.0026915544767717394</v>
      </c>
      <c r="AA21" s="76">
        <v>0.0015312066468806652</v>
      </c>
      <c r="AB21" s="80"/>
      <c r="AC21" s="76">
        <v>0.0036</v>
      </c>
      <c r="AD21" s="76">
        <v>0.0123</v>
      </c>
      <c r="AE21" s="76">
        <v>0.0265</v>
      </c>
      <c r="AF21" s="76">
        <v>0.02928610794113171</v>
      </c>
      <c r="AG21" s="76">
        <v>0.02378858335805966</v>
      </c>
      <c r="AH21" s="76">
        <v>0.022890991540417002</v>
      </c>
      <c r="AI21" s="76">
        <v>0.004490849605067137</v>
      </c>
      <c r="AJ21" s="76">
        <v>0.027163319692647875</v>
      </c>
      <c r="AK21" s="76">
        <v>0.021068769471204916</v>
      </c>
      <c r="AL21" s="76">
        <v>0.021923839452780317</v>
      </c>
      <c r="AM21" s="76">
        <v>0.030011317749017476</v>
      </c>
      <c r="AN21" s="76">
        <v>0.011985749753647343</v>
      </c>
      <c r="AO21" s="80">
        <f>AVERAGE(AC21:AN21)</f>
        <v>0.01958412738</v>
      </c>
      <c r="AP21" s="76">
        <v>0.013143960226257577</v>
      </c>
      <c r="AQ21" s="74">
        <v>0.021316134919957024</v>
      </c>
      <c r="AR21" s="74">
        <v>0.030365083702723134</v>
      </c>
      <c r="AS21" s="74">
        <v>0.023267271515023592</v>
      </c>
      <c r="AT21" s="74">
        <v>0.021008925143499054</v>
      </c>
      <c r="AU21" s="74">
        <v>0.03974714560487229</v>
      </c>
      <c r="AV21" s="74"/>
      <c r="AW21" s="74"/>
      <c r="AX21" s="74"/>
      <c r="AY21" s="74"/>
      <c r="AZ21" s="74"/>
      <c r="BA21" s="74"/>
      <c r="BB21" s="168"/>
      <c r="BC21" s="2"/>
      <c r="BD21" s="2"/>
      <c r="BE21" s="142"/>
      <c r="BF21" s="4"/>
      <c r="BG21" s="4"/>
      <c r="BH21" s="4"/>
      <c r="BI21" s="4"/>
      <c r="BJ21" s="4"/>
      <c r="BK21" s="4"/>
      <c r="BL21" s="4"/>
      <c r="BM21" s="99"/>
      <c r="BN21" s="142"/>
      <c r="BO21" s="4"/>
      <c r="BP21" s="4"/>
      <c r="BQ21" s="4"/>
      <c r="BR21" s="4"/>
      <c r="BS21" s="4"/>
      <c r="BT21" s="4"/>
      <c r="BU21" s="4"/>
      <c r="BV21" s="99"/>
      <c r="BW21" s="142"/>
      <c r="BX21" s="4"/>
      <c r="BY21" s="4"/>
      <c r="BZ21" s="4"/>
      <c r="CA21" s="4"/>
      <c r="CB21" s="4"/>
      <c r="CC21" s="4"/>
      <c r="CD21" s="4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146"/>
      <c r="DV21" s="169" t="s">
        <v>150</v>
      </c>
      <c r="DW21" s="169">
        <v>174000.0</v>
      </c>
      <c r="DX21" s="172">
        <v>0.75</v>
      </c>
      <c r="DY21" s="172">
        <v>0.85</v>
      </c>
      <c r="DZ21" s="169">
        <f t="shared" si="47"/>
        <v>110925</v>
      </c>
    </row>
    <row r="22" ht="12.0" customHeight="1">
      <c r="A22" s="6"/>
      <c r="B22" s="91" t="s">
        <v>151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73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73"/>
      <c r="AC22" s="37">
        <f t="shared" ref="AC22:BA22" si="48">AC23*AC12</f>
        <v>0</v>
      </c>
      <c r="AD22" s="37">
        <f t="shared" si="48"/>
        <v>0</v>
      </c>
      <c r="AE22" s="37">
        <f t="shared" si="48"/>
        <v>0</v>
      </c>
      <c r="AF22" s="37">
        <f t="shared" si="48"/>
        <v>0</v>
      </c>
      <c r="AG22" s="37">
        <f t="shared" si="48"/>
        <v>0</v>
      </c>
      <c r="AH22" s="37">
        <f t="shared" si="48"/>
        <v>0</v>
      </c>
      <c r="AI22" s="37">
        <f t="shared" si="48"/>
        <v>0</v>
      </c>
      <c r="AJ22" s="37">
        <f t="shared" si="48"/>
        <v>0</v>
      </c>
      <c r="AK22" s="37">
        <f t="shared" si="48"/>
        <v>0</v>
      </c>
      <c r="AL22" s="37">
        <f t="shared" si="48"/>
        <v>0</v>
      </c>
      <c r="AM22" s="37">
        <f t="shared" si="48"/>
        <v>0</v>
      </c>
      <c r="AN22" s="37">
        <f t="shared" si="48"/>
        <v>0</v>
      </c>
      <c r="AO22" s="73">
        <f t="shared" si="48"/>
        <v>0</v>
      </c>
      <c r="AP22" s="37">
        <f t="shared" si="48"/>
        <v>0</v>
      </c>
      <c r="AQ22" s="37">
        <f t="shared" si="48"/>
        <v>0</v>
      </c>
      <c r="AR22" s="37">
        <f t="shared" si="48"/>
        <v>0</v>
      </c>
      <c r="AS22" s="37">
        <f t="shared" si="48"/>
        <v>0</v>
      </c>
      <c r="AT22" s="37">
        <f t="shared" si="48"/>
        <v>0</v>
      </c>
      <c r="AU22" s="37">
        <f t="shared" si="48"/>
        <v>0</v>
      </c>
      <c r="AV22" s="37">
        <f t="shared" si="48"/>
        <v>0</v>
      </c>
      <c r="AW22" s="37">
        <f t="shared" si="48"/>
        <v>0</v>
      </c>
      <c r="AX22" s="37">
        <f t="shared" si="48"/>
        <v>0</v>
      </c>
      <c r="AY22" s="37">
        <f t="shared" si="48"/>
        <v>0</v>
      </c>
      <c r="AZ22" s="37">
        <f t="shared" si="48"/>
        <v>0</v>
      </c>
      <c r="BA22" s="37">
        <f t="shared" si="48"/>
        <v>0</v>
      </c>
      <c r="BB22" s="73"/>
      <c r="BC22" s="2"/>
      <c r="BD22" s="2"/>
      <c r="BE22" s="142"/>
      <c r="BF22" s="4"/>
      <c r="BG22" s="4"/>
      <c r="BH22" s="4"/>
      <c r="BI22" s="4"/>
      <c r="BJ22" s="4"/>
      <c r="BK22" s="4"/>
      <c r="BL22" s="4"/>
      <c r="BM22" s="99"/>
      <c r="BN22" s="142"/>
      <c r="BO22" s="4"/>
      <c r="BP22" s="4"/>
      <c r="BQ22" s="4"/>
      <c r="BR22" s="4"/>
      <c r="BS22" s="4"/>
      <c r="BT22" s="4"/>
      <c r="BU22" s="4"/>
      <c r="BV22" s="99"/>
      <c r="BW22" s="142"/>
      <c r="BX22" s="4"/>
      <c r="BY22" s="4"/>
      <c r="BZ22" s="4"/>
      <c r="CA22" s="4"/>
      <c r="CB22" s="4"/>
      <c r="CC22" s="4"/>
      <c r="CD22" s="4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146"/>
    </row>
    <row r="23" ht="12.0" customHeight="1">
      <c r="A23" s="6"/>
      <c r="B23" s="91" t="s">
        <v>96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73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73"/>
      <c r="AC23" s="74">
        <v>0.0</v>
      </c>
      <c r="AD23" s="74">
        <v>0.0</v>
      </c>
      <c r="AE23" s="74">
        <v>0.0</v>
      </c>
      <c r="AF23" s="74">
        <v>0.0</v>
      </c>
      <c r="AG23" s="74">
        <v>0.0</v>
      </c>
      <c r="AH23" s="74">
        <v>0.0</v>
      </c>
      <c r="AI23" s="74">
        <v>0.0</v>
      </c>
      <c r="AJ23" s="74">
        <v>0.0</v>
      </c>
      <c r="AK23" s="74">
        <v>0.0</v>
      </c>
      <c r="AL23" s="74">
        <v>0.0</v>
      </c>
      <c r="AM23" s="74">
        <v>0.0</v>
      </c>
      <c r="AN23" s="74">
        <v>0.0</v>
      </c>
      <c r="AO23" s="80">
        <f>AVERAGE(AC23:AN23)</f>
        <v>0</v>
      </c>
      <c r="AP23" s="74">
        <v>0.0</v>
      </c>
      <c r="AQ23" s="74">
        <v>0.0</v>
      </c>
      <c r="AR23" s="74">
        <v>0.0</v>
      </c>
      <c r="AS23" s="74">
        <v>0.0</v>
      </c>
      <c r="AT23" s="74">
        <v>0.0</v>
      </c>
      <c r="AU23" s="74">
        <v>0.0</v>
      </c>
      <c r="AV23" s="74"/>
      <c r="AW23" s="74"/>
      <c r="AX23" s="74"/>
      <c r="AY23" s="74"/>
      <c r="AZ23" s="74"/>
      <c r="BA23" s="74"/>
      <c r="BB23" s="168"/>
      <c r="BC23" s="2"/>
      <c r="BD23" s="2"/>
      <c r="BE23" s="46"/>
      <c r="BF23" s="33" t="s">
        <v>55</v>
      </c>
      <c r="BG23" s="34" t="s">
        <v>56</v>
      </c>
      <c r="BH23" s="22"/>
      <c r="BI23" s="34" t="s">
        <v>57</v>
      </c>
      <c r="BJ23" s="22"/>
      <c r="BK23" s="34" t="s">
        <v>58</v>
      </c>
      <c r="BL23" s="22"/>
      <c r="BM23" s="99"/>
      <c r="BN23" s="46"/>
      <c r="BO23" s="33" t="s">
        <v>55</v>
      </c>
      <c r="BP23" s="34" t="s">
        <v>56</v>
      </c>
      <c r="BQ23" s="22"/>
      <c r="BR23" s="34" t="s">
        <v>57</v>
      </c>
      <c r="BS23" s="22"/>
      <c r="BT23" s="34" t="s">
        <v>58</v>
      </c>
      <c r="BU23" s="22"/>
      <c r="BV23" s="99"/>
      <c r="BW23" s="46"/>
      <c r="BX23" s="33" t="s">
        <v>55</v>
      </c>
      <c r="BY23" s="34" t="s">
        <v>56</v>
      </c>
      <c r="BZ23" s="22"/>
      <c r="CA23" s="34" t="s">
        <v>57</v>
      </c>
      <c r="CB23" s="22"/>
      <c r="CC23" s="34" t="s">
        <v>58</v>
      </c>
      <c r="CD23" s="22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146"/>
    </row>
    <row r="24" ht="12.0" customHeight="1">
      <c r="A24" s="6"/>
      <c r="B24" s="91" t="s">
        <v>152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73"/>
      <c r="P24" s="37"/>
      <c r="Q24" s="37"/>
      <c r="R24" s="37"/>
      <c r="S24" s="37"/>
      <c r="T24" s="37"/>
      <c r="U24" s="37"/>
      <c r="V24" s="37"/>
      <c r="W24" s="37">
        <f t="shared" ref="W24:AA24" si="49">W25*W12</f>
        <v>492013.5724</v>
      </c>
      <c r="X24" s="37">
        <f t="shared" si="49"/>
        <v>425177</v>
      </c>
      <c r="Y24" s="37">
        <f t="shared" si="49"/>
        <v>508727</v>
      </c>
      <c r="Z24" s="37">
        <f t="shared" si="49"/>
        <v>337424.5366</v>
      </c>
      <c r="AA24" s="37">
        <f t="shared" si="49"/>
        <v>378550</v>
      </c>
      <c r="AB24" s="73"/>
      <c r="AC24" s="37">
        <f t="shared" ref="AC24:BA24" si="50">AC25*AC12</f>
        <v>360796.5504</v>
      </c>
      <c r="AD24" s="37">
        <f t="shared" si="50"/>
        <v>258916.985</v>
      </c>
      <c r="AE24" s="37">
        <f t="shared" si="50"/>
        <v>290662.8</v>
      </c>
      <c r="AF24" s="37">
        <f t="shared" si="50"/>
        <v>425651.8766</v>
      </c>
      <c r="AG24" s="37">
        <f t="shared" si="50"/>
        <v>391279</v>
      </c>
      <c r="AH24" s="37">
        <f t="shared" si="50"/>
        <v>344167</v>
      </c>
      <c r="AI24" s="37">
        <f t="shared" si="50"/>
        <v>371200</v>
      </c>
      <c r="AJ24" s="37">
        <f t="shared" si="50"/>
        <v>345327</v>
      </c>
      <c r="AK24" s="37">
        <f t="shared" si="50"/>
        <v>289140</v>
      </c>
      <c r="AL24" s="37">
        <f t="shared" si="50"/>
        <v>306524</v>
      </c>
      <c r="AM24" s="37">
        <f t="shared" si="50"/>
        <v>254726</v>
      </c>
      <c r="AN24" s="37">
        <f t="shared" si="50"/>
        <v>92753</v>
      </c>
      <c r="AO24" s="73">
        <f t="shared" si="50"/>
        <v>3732445.975</v>
      </c>
      <c r="AP24" s="37">
        <f t="shared" si="50"/>
        <v>127133</v>
      </c>
      <c r="AQ24" s="37">
        <f t="shared" si="50"/>
        <v>148768</v>
      </c>
      <c r="AR24" s="37">
        <f t="shared" si="50"/>
        <v>196926</v>
      </c>
      <c r="AS24" s="37">
        <f t="shared" si="50"/>
        <v>239926</v>
      </c>
      <c r="AT24" s="37">
        <f t="shared" si="50"/>
        <v>211453</v>
      </c>
      <c r="AU24" s="37">
        <f t="shared" si="50"/>
        <v>277197</v>
      </c>
      <c r="AV24" s="37">
        <f t="shared" si="50"/>
        <v>0</v>
      </c>
      <c r="AW24" s="37">
        <f t="shared" si="50"/>
        <v>0</v>
      </c>
      <c r="AX24" s="37">
        <f t="shared" si="50"/>
        <v>0</v>
      </c>
      <c r="AY24" s="37">
        <f t="shared" si="50"/>
        <v>0</v>
      </c>
      <c r="AZ24" s="37">
        <f t="shared" si="50"/>
        <v>0</v>
      </c>
      <c r="BA24" s="37">
        <f t="shared" si="50"/>
        <v>0</v>
      </c>
      <c r="BB24" s="73"/>
      <c r="BC24" s="2"/>
      <c r="BD24" s="2"/>
      <c r="BE24" s="158" t="s">
        <v>98</v>
      </c>
      <c r="BF24" s="45" t="s">
        <v>84</v>
      </c>
      <c r="BG24" s="44" t="s">
        <v>62</v>
      </c>
      <c r="BH24" s="45" t="s">
        <v>63</v>
      </c>
      <c r="BI24" s="44" t="s">
        <v>62</v>
      </c>
      <c r="BJ24" s="45" t="s">
        <v>63</v>
      </c>
      <c r="BK24" s="44" t="s">
        <v>62</v>
      </c>
      <c r="BL24" s="45" t="s">
        <v>63</v>
      </c>
      <c r="BM24" s="99"/>
      <c r="BN24" s="158" t="s">
        <v>98</v>
      </c>
      <c r="BO24" s="45" t="s">
        <v>84</v>
      </c>
      <c r="BP24" s="44" t="s">
        <v>62</v>
      </c>
      <c r="BQ24" s="45" t="s">
        <v>63</v>
      </c>
      <c r="BR24" s="44" t="s">
        <v>62</v>
      </c>
      <c r="BS24" s="45" t="s">
        <v>63</v>
      </c>
      <c r="BT24" s="44" t="s">
        <v>62</v>
      </c>
      <c r="BU24" s="45" t="s">
        <v>63</v>
      </c>
      <c r="BV24" s="99"/>
      <c r="BW24" s="158" t="s">
        <v>98</v>
      </c>
      <c r="BX24" s="45" t="s">
        <v>84</v>
      </c>
      <c r="BY24" s="44" t="s">
        <v>62</v>
      </c>
      <c r="BZ24" s="45" t="s">
        <v>63</v>
      </c>
      <c r="CA24" s="44" t="s">
        <v>62</v>
      </c>
      <c r="CB24" s="45" t="s">
        <v>63</v>
      </c>
      <c r="CC24" s="44" t="s">
        <v>62</v>
      </c>
      <c r="CD24" s="45" t="s">
        <v>63</v>
      </c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146"/>
    </row>
    <row r="25" ht="12.0" customHeight="1">
      <c r="A25" s="6"/>
      <c r="B25" s="91" t="s">
        <v>99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73"/>
      <c r="P25" s="37"/>
      <c r="Q25" s="37"/>
      <c r="R25" s="37"/>
      <c r="S25" s="37"/>
      <c r="T25" s="37"/>
      <c r="U25" s="37"/>
      <c r="V25" s="37"/>
      <c r="W25" s="76">
        <v>0.3092</v>
      </c>
      <c r="X25" s="76">
        <v>0.2344761446771808</v>
      </c>
      <c r="Y25" s="76">
        <v>0.25914841635966485</v>
      </c>
      <c r="Z25" s="76">
        <v>0.168732431802168</v>
      </c>
      <c r="AA25" s="76">
        <v>0.17978854720120216</v>
      </c>
      <c r="AB25" s="80"/>
      <c r="AC25" s="76">
        <v>0.1727</v>
      </c>
      <c r="AD25" s="76">
        <v>0.137</v>
      </c>
      <c r="AE25" s="76">
        <v>0.15</v>
      </c>
      <c r="AF25" s="76">
        <v>0.2206075383120219</v>
      </c>
      <c r="AG25" s="76">
        <v>0.18939431709108018</v>
      </c>
      <c r="AH25" s="74">
        <v>0.1731804248107513</v>
      </c>
      <c r="AI25" s="76">
        <v>0.19062359901668624</v>
      </c>
      <c r="AJ25" s="76">
        <v>0.18390800312720348</v>
      </c>
      <c r="AK25" s="76">
        <v>0.15630481872284574</v>
      </c>
      <c r="AL25" s="76">
        <v>0.15526507472907985</v>
      </c>
      <c r="AM25" s="76">
        <v>0.13098250505339293</v>
      </c>
      <c r="AN25" s="76">
        <v>0.046325287394785065</v>
      </c>
      <c r="AO25" s="80">
        <f>AVERAGE(AC25:AN25)</f>
        <v>0.1588576307</v>
      </c>
      <c r="AP25" s="76">
        <v>0.06344804250464384</v>
      </c>
      <c r="AQ25" s="74">
        <v>0.08359894444869023</v>
      </c>
      <c r="AR25" s="74">
        <v>0.09984095493959888</v>
      </c>
      <c r="AS25" s="74">
        <v>0.12000566201284557</v>
      </c>
      <c r="AT25" s="74">
        <v>0.10022561701038502</v>
      </c>
      <c r="AU25" s="74">
        <v>0.14619239063535838</v>
      </c>
      <c r="AV25" s="74"/>
      <c r="AW25" s="74"/>
      <c r="AX25" s="74"/>
      <c r="AY25" s="74"/>
      <c r="AZ25" s="74"/>
      <c r="BA25" s="74"/>
      <c r="BB25" s="168"/>
      <c r="BC25" s="2"/>
      <c r="BD25" s="2"/>
      <c r="BE25" s="46" t="s">
        <v>100</v>
      </c>
      <c r="BF25" s="41">
        <f t="shared" ref="BF25:BF26" si="55">O39</f>
        <v>2235</v>
      </c>
      <c r="BG25" s="41">
        <f>AB38</f>
        <v>2300</v>
      </c>
      <c r="BH25" s="41">
        <f t="shared" ref="BH25:BH26" si="56">AB39</f>
        <v>3215</v>
      </c>
      <c r="BI25" s="41">
        <f>AO38</f>
        <v>3500</v>
      </c>
      <c r="BJ25" s="41">
        <f t="shared" ref="BJ25:BJ26" si="57">AO39</f>
        <v>4845</v>
      </c>
      <c r="BK25" s="41">
        <f>BB38</f>
        <v>5300</v>
      </c>
      <c r="BL25" s="41"/>
      <c r="BM25" s="99"/>
      <c r="BN25" s="46" t="s">
        <v>100</v>
      </c>
      <c r="BO25" s="41" t="str">
        <f t="shared" ref="BO25:BR25" si="51">BO34</f>
        <v>#REF!</v>
      </c>
      <c r="BP25" s="41" t="str">
        <f t="shared" si="51"/>
        <v>#REF!</v>
      </c>
      <c r="BQ25" s="41" t="str">
        <f t="shared" si="51"/>
        <v>#REF!</v>
      </c>
      <c r="BR25" s="41" t="str">
        <f t="shared" si="51"/>
        <v>#REF!</v>
      </c>
      <c r="BS25" s="41"/>
      <c r="BT25" s="41">
        <f>BT34</f>
        <v>4000</v>
      </c>
      <c r="BU25" s="41"/>
      <c r="BV25" s="99"/>
      <c r="BW25" s="46" t="s">
        <v>100</v>
      </c>
      <c r="BX25" s="41">
        <f t="shared" ref="BX25:CA25" si="52">BX34</f>
        <v>2235</v>
      </c>
      <c r="BY25" s="41">
        <f t="shared" si="52"/>
        <v>2300</v>
      </c>
      <c r="BZ25" s="41">
        <f t="shared" si="52"/>
        <v>3215</v>
      </c>
      <c r="CA25" s="41">
        <f t="shared" si="52"/>
        <v>3500</v>
      </c>
      <c r="CB25" s="41"/>
      <c r="CC25" s="41">
        <f>CC34</f>
        <v>4000</v>
      </c>
      <c r="CD25" s="41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146"/>
    </row>
    <row r="26" ht="12.0" customHeight="1">
      <c r="A26" s="6"/>
      <c r="B26" s="91" t="s">
        <v>153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73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>
        <f t="shared" ref="Z26:AA26" si="53">Z27*Z12</f>
        <v>88470.20528</v>
      </c>
      <c r="AA26" s="37">
        <f t="shared" si="53"/>
        <v>445343</v>
      </c>
      <c r="AB26" s="73"/>
      <c r="AC26" s="37">
        <f t="shared" ref="AC26:BA26" si="54">AC27*AC12</f>
        <v>32172.9408</v>
      </c>
      <c r="AD26" s="37">
        <f t="shared" si="54"/>
        <v>0</v>
      </c>
      <c r="AE26" s="37">
        <f t="shared" si="54"/>
        <v>0</v>
      </c>
      <c r="AF26" s="37">
        <f t="shared" si="54"/>
        <v>0</v>
      </c>
      <c r="AG26" s="37">
        <f t="shared" si="54"/>
        <v>0</v>
      </c>
      <c r="AH26" s="37">
        <f t="shared" si="54"/>
        <v>0</v>
      </c>
      <c r="AI26" s="37">
        <f t="shared" si="54"/>
        <v>0</v>
      </c>
      <c r="AJ26" s="37">
        <f t="shared" si="54"/>
        <v>0</v>
      </c>
      <c r="AK26" s="37">
        <f t="shared" si="54"/>
        <v>39169</v>
      </c>
      <c r="AL26" s="37">
        <f t="shared" si="54"/>
        <v>224638</v>
      </c>
      <c r="AM26" s="37">
        <f t="shared" si="54"/>
        <v>75006</v>
      </c>
      <c r="AN26" s="37">
        <f t="shared" si="54"/>
        <v>98038</v>
      </c>
      <c r="AO26" s="73">
        <f t="shared" si="54"/>
        <v>465788.937</v>
      </c>
      <c r="AP26" s="37">
        <f t="shared" si="54"/>
        <v>0</v>
      </c>
      <c r="AQ26" s="37">
        <f t="shared" si="54"/>
        <v>0</v>
      </c>
      <c r="AR26" s="37">
        <f t="shared" si="54"/>
        <v>0</v>
      </c>
      <c r="AS26" s="37">
        <f t="shared" si="54"/>
        <v>0</v>
      </c>
      <c r="AT26" s="37">
        <f t="shared" si="54"/>
        <v>0</v>
      </c>
      <c r="AU26" s="37">
        <f t="shared" si="54"/>
        <v>0</v>
      </c>
      <c r="AV26" s="37">
        <f t="shared" si="54"/>
        <v>0</v>
      </c>
      <c r="AW26" s="37">
        <f t="shared" si="54"/>
        <v>0</v>
      </c>
      <c r="AX26" s="37">
        <f t="shared" si="54"/>
        <v>0</v>
      </c>
      <c r="AY26" s="37">
        <f t="shared" si="54"/>
        <v>0</v>
      </c>
      <c r="AZ26" s="37">
        <f t="shared" si="54"/>
        <v>0</v>
      </c>
      <c r="BA26" s="37">
        <f t="shared" si="54"/>
        <v>0</v>
      </c>
      <c r="BB26" s="73"/>
      <c r="BC26" s="2"/>
      <c r="BD26" s="2"/>
      <c r="BE26" s="46" t="s">
        <v>102</v>
      </c>
      <c r="BF26" s="41">
        <f t="shared" si="55"/>
        <v>176</v>
      </c>
      <c r="BG26" s="41">
        <f>AB41</f>
        <v>345</v>
      </c>
      <c r="BH26" s="41">
        <f t="shared" si="56"/>
        <v>502</v>
      </c>
      <c r="BI26" s="41">
        <f>AO41</f>
        <v>1400</v>
      </c>
      <c r="BJ26" s="41">
        <f t="shared" si="57"/>
        <v>2097</v>
      </c>
      <c r="BK26" s="41">
        <f>BB41</f>
        <v>3200</v>
      </c>
      <c r="BL26" s="41"/>
      <c r="BM26" s="99"/>
      <c r="BN26" s="46" t="s">
        <v>102</v>
      </c>
      <c r="BO26" s="41" t="str">
        <f t="shared" ref="BO26:BR26" si="58">#REF!</f>
        <v>#REF!</v>
      </c>
      <c r="BP26" s="41" t="str">
        <f t="shared" si="58"/>
        <v>#REF!</v>
      </c>
      <c r="BQ26" s="41" t="str">
        <f t="shared" si="58"/>
        <v>#REF!</v>
      </c>
      <c r="BR26" s="41" t="str">
        <f t="shared" si="58"/>
        <v>#REF!</v>
      </c>
      <c r="BS26" s="41"/>
      <c r="BT26" s="41">
        <f>BT25*BT27</f>
        <v>2400</v>
      </c>
      <c r="BU26" s="41"/>
      <c r="BV26" s="99"/>
      <c r="BW26" s="46" t="s">
        <v>102</v>
      </c>
      <c r="BX26" s="41">
        <f>N40</f>
        <v>176</v>
      </c>
      <c r="BY26" s="41">
        <f>AA41</f>
        <v>345</v>
      </c>
      <c r="BZ26" s="41">
        <f>AA40</f>
        <v>502</v>
      </c>
      <c r="CA26" s="41">
        <f>AN41</f>
        <v>1400</v>
      </c>
      <c r="CB26" s="41"/>
      <c r="CC26" s="41">
        <f>CC25*CC27</f>
        <v>2400</v>
      </c>
      <c r="CD26" s="41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146"/>
    </row>
    <row r="27" ht="12.0" customHeight="1">
      <c r="A27" s="6"/>
      <c r="B27" s="91" t="s">
        <v>103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73"/>
      <c r="P27" s="37"/>
      <c r="Q27" s="37"/>
      <c r="R27" s="37"/>
      <c r="S27" s="37"/>
      <c r="T27" s="37"/>
      <c r="U27" s="37"/>
      <c r="V27" s="37"/>
      <c r="W27" s="76"/>
      <c r="X27" s="37"/>
      <c r="Y27" s="37"/>
      <c r="Z27" s="76">
        <v>0.044240389365175284</v>
      </c>
      <c r="AA27" s="76">
        <v>0.21151121642114643</v>
      </c>
      <c r="AB27" s="80"/>
      <c r="AC27" s="76">
        <v>0.0154</v>
      </c>
      <c r="AD27" s="76">
        <v>0.0</v>
      </c>
      <c r="AE27" s="76">
        <v>0.0</v>
      </c>
      <c r="AF27" s="76">
        <v>0.0</v>
      </c>
      <c r="AG27" s="76">
        <v>0.0</v>
      </c>
      <c r="AH27" s="76">
        <v>0.0</v>
      </c>
      <c r="AI27" s="76">
        <v>0.0</v>
      </c>
      <c r="AJ27" s="76">
        <v>0.0</v>
      </c>
      <c r="AK27" s="76">
        <v>0.021174183594643233</v>
      </c>
      <c r="AL27" s="76">
        <v>0.11378696564377028</v>
      </c>
      <c r="AM27" s="76">
        <v>0.03856879067717779</v>
      </c>
      <c r="AN27" s="76">
        <v>0.048964869336948005</v>
      </c>
      <c r="AO27" s="80">
        <f>AVERAGE(AC27:AN27)</f>
        <v>0.01982456744</v>
      </c>
      <c r="AP27" s="76">
        <v>0.0</v>
      </c>
      <c r="AQ27" s="74">
        <v>0.0</v>
      </c>
      <c r="AR27" s="74">
        <v>0.0</v>
      </c>
      <c r="AS27" s="74">
        <v>0.0</v>
      </c>
      <c r="AT27" s="74">
        <v>0.0</v>
      </c>
      <c r="AU27" s="74">
        <v>0.0</v>
      </c>
      <c r="AV27" s="74"/>
      <c r="AW27" s="74"/>
      <c r="AX27" s="74"/>
      <c r="AY27" s="74"/>
      <c r="AZ27" s="74"/>
      <c r="BA27" s="74"/>
      <c r="BB27" s="168"/>
      <c r="BC27" s="2"/>
      <c r="BD27" s="2"/>
      <c r="BE27" s="51" t="s">
        <v>104</v>
      </c>
      <c r="BF27" s="52">
        <f t="shared" ref="BF27:BK27" si="59">BF26/BF25</f>
        <v>0.07874720358</v>
      </c>
      <c r="BG27" s="52">
        <f t="shared" si="59"/>
        <v>0.15</v>
      </c>
      <c r="BH27" s="52">
        <f t="shared" si="59"/>
        <v>0.1561430793</v>
      </c>
      <c r="BI27" s="52">
        <f t="shared" si="59"/>
        <v>0.4</v>
      </c>
      <c r="BJ27" s="52">
        <f t="shared" si="59"/>
        <v>0.4328173375</v>
      </c>
      <c r="BK27" s="52">
        <f t="shared" si="59"/>
        <v>0.6037735849</v>
      </c>
      <c r="BL27" s="82"/>
      <c r="BM27" s="99"/>
      <c r="BN27" s="51" t="s">
        <v>104</v>
      </c>
      <c r="BO27" s="52" t="str">
        <f t="shared" ref="BO27:BR27" si="60">BO26/BO25</f>
        <v>#REF!</v>
      </c>
      <c r="BP27" s="52" t="str">
        <f t="shared" si="60"/>
        <v>#REF!</v>
      </c>
      <c r="BQ27" s="52" t="str">
        <f t="shared" si="60"/>
        <v>#REF!</v>
      </c>
      <c r="BR27" s="52" t="str">
        <f t="shared" si="60"/>
        <v>#REF!</v>
      </c>
      <c r="BS27" s="86"/>
      <c r="BT27" s="52">
        <v>0.6</v>
      </c>
      <c r="BU27" s="82"/>
      <c r="BV27" s="99"/>
      <c r="BW27" s="51" t="s">
        <v>104</v>
      </c>
      <c r="BX27" s="52">
        <f t="shared" ref="BX27:CA27" si="61">BX26/BX25</f>
        <v>0.07874720358</v>
      </c>
      <c r="BY27" s="52">
        <f t="shared" si="61"/>
        <v>0.15</v>
      </c>
      <c r="BZ27" s="52">
        <f t="shared" si="61"/>
        <v>0.1561430793</v>
      </c>
      <c r="CA27" s="52">
        <f t="shared" si="61"/>
        <v>0.4</v>
      </c>
      <c r="CB27" s="86"/>
      <c r="CC27" s="52">
        <v>0.6</v>
      </c>
      <c r="CD27" s="82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146"/>
    </row>
    <row r="28" ht="12.0" customHeight="1">
      <c r="A28" s="87" t="s">
        <v>105</v>
      </c>
      <c r="B28" s="173" t="s">
        <v>154</v>
      </c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>
        <v>845850.5000000001</v>
      </c>
      <c r="Q28" s="174">
        <v>810579.0000000001</v>
      </c>
      <c r="R28" s="174">
        <v>923999.0</v>
      </c>
      <c r="S28" s="174">
        <v>939625.5000000001</v>
      </c>
      <c r="T28" s="174">
        <v>1008268.8000000002</v>
      </c>
      <c r="U28" s="174">
        <v>1012225.5000000002</v>
      </c>
      <c r="V28" s="174">
        <v>1054039.0</v>
      </c>
      <c r="W28" s="174">
        <v>1210682.1375000002</v>
      </c>
      <c r="X28" s="174">
        <v>1449354.5</v>
      </c>
      <c r="Y28" s="174">
        <v>1522776.175</v>
      </c>
      <c r="Z28" s="174">
        <v>1686366.0000000005</v>
      </c>
      <c r="AA28" s="174">
        <v>1815146.1000000003</v>
      </c>
      <c r="AB28" s="174">
        <f t="shared" ref="AB28:AB29" si="66">SUM(P28:AA28)</f>
        <v>14278912.21</v>
      </c>
      <c r="AC28" s="174">
        <f t="shared" ref="AC28:AN28" si="62">AC31*AC11</f>
        <v>1753724.25</v>
      </c>
      <c r="AD28" s="174">
        <f t="shared" si="62"/>
        <v>1620392.4</v>
      </c>
      <c r="AE28" s="174">
        <f t="shared" si="62"/>
        <v>1825936.425</v>
      </c>
      <c r="AF28" s="174">
        <f t="shared" si="62"/>
        <v>1727102.25</v>
      </c>
      <c r="AG28" s="174">
        <f t="shared" si="62"/>
        <v>1783486.575</v>
      </c>
      <c r="AH28" s="174">
        <f t="shared" si="62"/>
        <v>1628876.25</v>
      </c>
      <c r="AI28" s="174">
        <f t="shared" si="62"/>
        <v>1702144.125</v>
      </c>
      <c r="AJ28" s="174">
        <f t="shared" si="62"/>
        <v>1700839.8</v>
      </c>
      <c r="AK28" s="174">
        <f t="shared" si="62"/>
        <v>1609368.75</v>
      </c>
      <c r="AL28" s="174">
        <f t="shared" si="62"/>
        <v>1747496.35</v>
      </c>
      <c r="AM28" s="174">
        <f t="shared" si="62"/>
        <v>1840410</v>
      </c>
      <c r="AN28" s="174">
        <f t="shared" si="62"/>
        <v>2002522.5</v>
      </c>
      <c r="AO28" s="174">
        <f t="shared" ref="AO28:AO29" si="68">SUM(AC28:AN28)</f>
        <v>20942299.68</v>
      </c>
      <c r="AP28" s="174">
        <f t="shared" ref="AP28:BA28" si="63">AP31*AP11</f>
        <v>1945831.648</v>
      </c>
      <c r="AQ28" s="174">
        <f t="shared" si="63"/>
        <v>1777732.361</v>
      </c>
      <c r="AR28" s="174">
        <f t="shared" si="63"/>
        <v>1990703.599</v>
      </c>
      <c r="AS28" s="174">
        <f t="shared" si="63"/>
        <v>1889343.237</v>
      </c>
      <c r="AT28" s="174">
        <f t="shared" si="63"/>
        <v>1974387.442</v>
      </c>
      <c r="AU28" s="174">
        <f t="shared" si="63"/>
        <v>1932171.812</v>
      </c>
      <c r="AV28" s="174">
        <f t="shared" si="63"/>
        <v>2018891.637</v>
      </c>
      <c r="AW28" s="174">
        <f t="shared" si="63"/>
        <v>2041329.734</v>
      </c>
      <c r="AX28" s="174">
        <f t="shared" si="63"/>
        <v>1997314.676</v>
      </c>
      <c r="AY28" s="174">
        <f t="shared" si="63"/>
        <v>2086577.929</v>
      </c>
      <c r="AZ28" s="174">
        <f t="shared" si="63"/>
        <v>2041343.252</v>
      </c>
      <c r="BA28" s="174">
        <f t="shared" si="63"/>
        <v>2132322.124</v>
      </c>
      <c r="BB28" s="161">
        <f t="shared" ref="BB28:BB29" si="71">SUM(AP28:BA28)</f>
        <v>23827949.45</v>
      </c>
      <c r="BC28" s="2"/>
      <c r="BD28" s="2"/>
      <c r="BE28" s="23"/>
      <c r="BF28" s="175"/>
      <c r="BG28" s="176"/>
      <c r="BH28" s="176"/>
      <c r="BI28" s="177"/>
      <c r="BJ28" s="177"/>
      <c r="BK28" s="177"/>
      <c r="BL28" s="177"/>
      <c r="BM28" s="99"/>
      <c r="BN28" s="23"/>
      <c r="BO28" s="175"/>
      <c r="BP28" s="176"/>
      <c r="BQ28" s="176"/>
      <c r="BR28" s="177"/>
      <c r="BS28" s="177"/>
      <c r="BT28" s="177"/>
      <c r="BU28" s="177"/>
      <c r="BV28" s="99"/>
      <c r="BW28" s="23"/>
      <c r="BX28" s="175"/>
      <c r="BY28" s="176"/>
      <c r="BZ28" s="176"/>
      <c r="CA28" s="177"/>
      <c r="CB28" s="177"/>
      <c r="CC28" s="177"/>
      <c r="CD28" s="177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146"/>
    </row>
    <row r="29" ht="12.0" customHeight="1">
      <c r="A29" s="54"/>
      <c r="B29" s="51" t="s">
        <v>155</v>
      </c>
      <c r="C29" s="56">
        <f t="shared" ref="C29:N29" si="64">C32*C12</f>
        <v>490161.1673</v>
      </c>
      <c r="D29" s="56">
        <f t="shared" si="64"/>
        <v>459973.6677</v>
      </c>
      <c r="E29" s="56">
        <f t="shared" si="64"/>
        <v>527262.0332</v>
      </c>
      <c r="F29" s="56">
        <f t="shared" si="64"/>
        <v>550897.0521</v>
      </c>
      <c r="G29" s="56">
        <f t="shared" si="64"/>
        <v>565158.6026</v>
      </c>
      <c r="H29" s="56">
        <f t="shared" si="64"/>
        <v>589435.7283</v>
      </c>
      <c r="I29" s="56">
        <f t="shared" si="64"/>
        <v>517661.9217</v>
      </c>
      <c r="J29" s="56">
        <f t="shared" si="64"/>
        <v>569817.6422</v>
      </c>
      <c r="K29" s="56">
        <f t="shared" si="64"/>
        <v>642478.9905</v>
      </c>
      <c r="L29" s="56">
        <f t="shared" si="64"/>
        <v>665978.22</v>
      </c>
      <c r="M29" s="56">
        <f t="shared" si="64"/>
        <v>607508.0851</v>
      </c>
      <c r="N29" s="56">
        <f t="shared" si="64"/>
        <v>716237.4251</v>
      </c>
      <c r="O29" s="56">
        <f>SUM(C29:N29)</f>
        <v>6902570.536</v>
      </c>
      <c r="P29" s="56">
        <f t="shared" ref="P29:AA29" si="65">P32*P12</f>
        <v>789445.3151</v>
      </c>
      <c r="Q29" s="56">
        <f t="shared" si="65"/>
        <v>918995.1084</v>
      </c>
      <c r="R29" s="56">
        <f t="shared" si="65"/>
        <v>729962.4454</v>
      </c>
      <c r="S29" s="56">
        <f t="shared" si="65"/>
        <v>705626.4264</v>
      </c>
      <c r="T29" s="56">
        <f t="shared" si="65"/>
        <v>795718.8955</v>
      </c>
      <c r="U29" s="56">
        <f t="shared" si="65"/>
        <v>924150.7747</v>
      </c>
      <c r="V29" s="56">
        <f t="shared" si="65"/>
        <v>788334.6934</v>
      </c>
      <c r="W29" s="56">
        <f t="shared" si="65"/>
        <v>1099197.699</v>
      </c>
      <c r="X29" s="56">
        <f t="shared" si="65"/>
        <v>1388129</v>
      </c>
      <c r="Y29" s="56">
        <f t="shared" si="65"/>
        <v>1454345</v>
      </c>
      <c r="Z29" s="56">
        <f t="shared" si="65"/>
        <v>1585134.648</v>
      </c>
      <c r="AA29" s="56">
        <f t="shared" si="65"/>
        <v>1379780</v>
      </c>
      <c r="AB29" s="56">
        <f t="shared" si="66"/>
        <v>12558820.01</v>
      </c>
      <c r="AC29" s="56">
        <f t="shared" ref="AC29:AN29" si="67">AC32*AC12</f>
        <v>1707833.045</v>
      </c>
      <c r="AD29" s="56">
        <f t="shared" si="67"/>
        <v>1630992</v>
      </c>
      <c r="AE29" s="56">
        <f t="shared" si="67"/>
        <v>1647487</v>
      </c>
      <c r="AF29" s="56">
        <f t="shared" si="67"/>
        <v>1503801.123</v>
      </c>
      <c r="AG29" s="56">
        <f t="shared" si="67"/>
        <v>1674670</v>
      </c>
      <c r="AH29" s="56">
        <f t="shared" si="67"/>
        <v>1643165</v>
      </c>
      <c r="AI29" s="56">
        <f t="shared" si="67"/>
        <v>1576093</v>
      </c>
      <c r="AJ29" s="56">
        <f t="shared" si="67"/>
        <v>1532389</v>
      </c>
      <c r="AK29" s="56">
        <f t="shared" si="67"/>
        <v>1534930</v>
      </c>
      <c r="AL29" s="56">
        <f t="shared" si="67"/>
        <v>1479822</v>
      </c>
      <c r="AM29" s="56">
        <f t="shared" si="67"/>
        <v>1626012</v>
      </c>
      <c r="AN29" s="56">
        <f t="shared" si="67"/>
        <v>1813615</v>
      </c>
      <c r="AO29" s="56">
        <f t="shared" si="68"/>
        <v>19370809.17</v>
      </c>
      <c r="AP29" s="56">
        <f t="shared" ref="AP29:AR29" si="69">AP32*AP12</f>
        <v>1876601</v>
      </c>
      <c r="AQ29" s="56">
        <f t="shared" si="69"/>
        <v>1630776</v>
      </c>
      <c r="AR29" s="56">
        <f t="shared" si="69"/>
        <v>1775471</v>
      </c>
      <c r="AS29" s="56">
        <v>1759363.0</v>
      </c>
      <c r="AT29" s="56">
        <v>1898317.0</v>
      </c>
      <c r="AU29" s="56">
        <v>1618914.0</v>
      </c>
      <c r="AV29" s="56">
        <f t="shared" ref="AV29:BA29" si="70">AV32*AV12</f>
        <v>0</v>
      </c>
      <c r="AW29" s="56">
        <f t="shared" si="70"/>
        <v>0</v>
      </c>
      <c r="AX29" s="56">
        <f t="shared" si="70"/>
        <v>0</v>
      </c>
      <c r="AY29" s="56">
        <f t="shared" si="70"/>
        <v>0</v>
      </c>
      <c r="AZ29" s="56">
        <f t="shared" si="70"/>
        <v>0</v>
      </c>
      <c r="BA29" s="56">
        <f t="shared" si="70"/>
        <v>0</v>
      </c>
      <c r="BB29" s="56">
        <f t="shared" si="71"/>
        <v>10559442</v>
      </c>
      <c r="BC29" s="16">
        <f>SUM(AC29:AE29)</f>
        <v>4986312.045</v>
      </c>
      <c r="BD29" s="16">
        <f>SUM(AF29:AH29)</f>
        <v>4821636.123</v>
      </c>
      <c r="BE29" s="142"/>
      <c r="BF29" s="4"/>
      <c r="BG29" s="4"/>
      <c r="BH29" s="4"/>
      <c r="BI29" s="4"/>
      <c r="BJ29" s="4"/>
      <c r="BK29" s="4"/>
      <c r="BL29" s="4"/>
      <c r="BM29" s="99"/>
      <c r="BN29" s="142"/>
      <c r="BO29" s="4"/>
      <c r="BP29" s="4"/>
      <c r="BQ29" s="4"/>
      <c r="BR29" s="4"/>
      <c r="BS29" s="4"/>
      <c r="BT29" s="4"/>
      <c r="BU29" s="4"/>
      <c r="BV29" s="99"/>
      <c r="BW29" s="142"/>
      <c r="BX29" s="4"/>
      <c r="BY29" s="4"/>
      <c r="BZ29" s="4"/>
      <c r="CA29" s="4"/>
      <c r="CB29" s="4"/>
      <c r="CC29" s="4"/>
      <c r="CD29" s="4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146"/>
    </row>
    <row r="30" ht="12.0" customHeight="1">
      <c r="A30" s="54"/>
      <c r="B30" s="91" t="s">
        <v>72</v>
      </c>
      <c r="C30" s="37">
        <f t="shared" ref="C30:BB30" si="72">C29/C7</f>
        <v>15811.65056</v>
      </c>
      <c r="D30" s="37">
        <f t="shared" si="72"/>
        <v>16427.63099</v>
      </c>
      <c r="E30" s="37">
        <f t="shared" si="72"/>
        <v>17008.45268</v>
      </c>
      <c r="F30" s="37">
        <f t="shared" si="72"/>
        <v>18363.23507</v>
      </c>
      <c r="G30" s="37">
        <f t="shared" si="72"/>
        <v>18230.92267</v>
      </c>
      <c r="H30" s="37">
        <f t="shared" si="72"/>
        <v>19647.85761</v>
      </c>
      <c r="I30" s="37">
        <f t="shared" si="72"/>
        <v>16698.77167</v>
      </c>
      <c r="J30" s="37">
        <f t="shared" si="72"/>
        <v>18381.21426</v>
      </c>
      <c r="K30" s="37">
        <f t="shared" si="72"/>
        <v>21415.96635</v>
      </c>
      <c r="L30" s="37">
        <f t="shared" si="72"/>
        <v>21483.16839</v>
      </c>
      <c r="M30" s="37">
        <f t="shared" si="72"/>
        <v>20250.2695</v>
      </c>
      <c r="N30" s="37">
        <f t="shared" si="72"/>
        <v>23104.43307</v>
      </c>
      <c r="O30" s="73">
        <f t="shared" si="72"/>
        <v>18911.15215</v>
      </c>
      <c r="P30" s="37">
        <f t="shared" si="72"/>
        <v>25465.97791</v>
      </c>
      <c r="Q30" s="37">
        <f t="shared" si="72"/>
        <v>32821.25387</v>
      </c>
      <c r="R30" s="37">
        <f t="shared" si="72"/>
        <v>23547.17566</v>
      </c>
      <c r="S30" s="37">
        <f t="shared" si="72"/>
        <v>23520.88088</v>
      </c>
      <c r="T30" s="37">
        <f t="shared" si="72"/>
        <v>25668.35147</v>
      </c>
      <c r="U30" s="37">
        <f t="shared" si="72"/>
        <v>30805.02582</v>
      </c>
      <c r="V30" s="37">
        <f t="shared" si="72"/>
        <v>25430.1514</v>
      </c>
      <c r="W30" s="37">
        <f t="shared" si="72"/>
        <v>35457.9903</v>
      </c>
      <c r="X30" s="37">
        <f t="shared" si="72"/>
        <v>46270.96667</v>
      </c>
      <c r="Y30" s="37">
        <f t="shared" si="72"/>
        <v>46914.35484</v>
      </c>
      <c r="Z30" s="37">
        <f t="shared" si="72"/>
        <v>52837.8216</v>
      </c>
      <c r="AA30" s="37">
        <f t="shared" si="72"/>
        <v>44509.03226</v>
      </c>
      <c r="AB30" s="73">
        <f t="shared" si="72"/>
        <v>34407.72604</v>
      </c>
      <c r="AC30" s="37">
        <f t="shared" si="72"/>
        <v>55091.38856</v>
      </c>
      <c r="AD30" s="37">
        <f t="shared" si="72"/>
        <v>56241.10345</v>
      </c>
      <c r="AE30" s="37">
        <f t="shared" si="72"/>
        <v>53144.74194</v>
      </c>
      <c r="AF30" s="37">
        <f t="shared" si="72"/>
        <v>50126.70411</v>
      </c>
      <c r="AG30" s="37">
        <f t="shared" si="72"/>
        <v>54021.6129</v>
      </c>
      <c r="AH30" s="37">
        <f t="shared" si="72"/>
        <v>54772.16667</v>
      </c>
      <c r="AI30" s="37">
        <f t="shared" si="72"/>
        <v>50841.70968</v>
      </c>
      <c r="AJ30" s="37">
        <f t="shared" si="72"/>
        <v>49431.90323</v>
      </c>
      <c r="AK30" s="37">
        <f t="shared" si="72"/>
        <v>51164.33333</v>
      </c>
      <c r="AL30" s="37">
        <f t="shared" si="72"/>
        <v>47736.19355</v>
      </c>
      <c r="AM30" s="37">
        <f t="shared" si="72"/>
        <v>54200.4</v>
      </c>
      <c r="AN30" s="37">
        <f t="shared" si="72"/>
        <v>58503.70968</v>
      </c>
      <c r="AO30" s="73">
        <f t="shared" si="72"/>
        <v>52925.70811</v>
      </c>
      <c r="AP30" s="37">
        <f t="shared" si="72"/>
        <v>60535.51613</v>
      </c>
      <c r="AQ30" s="37">
        <f t="shared" si="72"/>
        <v>58242</v>
      </c>
      <c r="AR30" s="37">
        <f t="shared" si="72"/>
        <v>57273.25806</v>
      </c>
      <c r="AS30" s="37">
        <f t="shared" si="72"/>
        <v>58645.43333</v>
      </c>
      <c r="AT30" s="37">
        <f t="shared" si="72"/>
        <v>61236.03226</v>
      </c>
      <c r="AU30" s="37">
        <f t="shared" si="72"/>
        <v>53963.8</v>
      </c>
      <c r="AV30" s="37">
        <f t="shared" si="72"/>
        <v>0</v>
      </c>
      <c r="AW30" s="37">
        <f t="shared" si="72"/>
        <v>0</v>
      </c>
      <c r="AX30" s="37">
        <f t="shared" si="72"/>
        <v>0</v>
      </c>
      <c r="AY30" s="37">
        <f t="shared" si="72"/>
        <v>0</v>
      </c>
      <c r="AZ30" s="37">
        <f t="shared" si="72"/>
        <v>0</v>
      </c>
      <c r="BA30" s="37">
        <f t="shared" si="72"/>
        <v>0</v>
      </c>
      <c r="BB30" s="73">
        <f t="shared" si="72"/>
        <v>58339.45856</v>
      </c>
      <c r="BC30" s="2"/>
      <c r="BD30" s="2"/>
      <c r="BE30" s="142"/>
      <c r="BF30" s="4"/>
      <c r="BG30" s="4"/>
      <c r="BH30" s="4"/>
      <c r="BI30" s="4"/>
      <c r="BJ30" s="4"/>
      <c r="BK30" s="4"/>
      <c r="BL30" s="4"/>
      <c r="BM30" s="99"/>
      <c r="BN30" s="142"/>
      <c r="BO30" s="4"/>
      <c r="BP30" s="4"/>
      <c r="BQ30" s="4"/>
      <c r="BR30" s="4"/>
      <c r="BS30" s="4"/>
      <c r="BT30" s="4"/>
      <c r="BU30" s="4"/>
      <c r="BV30" s="99"/>
      <c r="BW30" s="142"/>
      <c r="BX30" s="4"/>
      <c r="BY30" s="4"/>
      <c r="BZ30" s="4"/>
      <c r="CA30" s="4"/>
      <c r="CB30" s="4"/>
      <c r="CC30" s="4"/>
      <c r="CD30" s="4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146"/>
    </row>
    <row r="31" ht="12.0" customHeight="1">
      <c r="A31" s="54"/>
      <c r="B31" s="173" t="s">
        <v>108</v>
      </c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4">
        <v>0.55</v>
      </c>
      <c r="Q31" s="164">
        <f>P31+3%</f>
        <v>0.58</v>
      </c>
      <c r="R31" s="164">
        <f t="shared" ref="R31:V31" si="73">Q31+2%</f>
        <v>0.6</v>
      </c>
      <c r="S31" s="164">
        <f t="shared" si="73"/>
        <v>0.62</v>
      </c>
      <c r="T31" s="164">
        <f t="shared" si="73"/>
        <v>0.64</v>
      </c>
      <c r="U31" s="164">
        <f t="shared" si="73"/>
        <v>0.66</v>
      </c>
      <c r="V31" s="164">
        <f t="shared" si="73"/>
        <v>0.68</v>
      </c>
      <c r="W31" s="164">
        <f>V31+7.5%</f>
        <v>0.755</v>
      </c>
      <c r="X31" s="164">
        <f>W31+3%</f>
        <v>0.785</v>
      </c>
      <c r="Y31" s="164">
        <f>X31+5%</f>
        <v>0.835</v>
      </c>
      <c r="Z31" s="164">
        <f>Y31</f>
        <v>0.835</v>
      </c>
      <c r="AA31" s="164">
        <f>Z31+2.5%</f>
        <v>0.86</v>
      </c>
      <c r="AB31" s="88">
        <f t="shared" ref="AB31:AB32" si="80">AB28/AB11</f>
        <v>0.6971576194</v>
      </c>
      <c r="AC31" s="164">
        <f>AA31+1%</f>
        <v>0.87</v>
      </c>
      <c r="AD31" s="164">
        <f>AC31+1%</f>
        <v>0.88</v>
      </c>
      <c r="AE31" s="164">
        <f>AD31+0.5%</f>
        <v>0.885</v>
      </c>
      <c r="AF31" s="164">
        <f t="shared" ref="AF31:AG31" si="74">AE31-2%</f>
        <v>0.865</v>
      </c>
      <c r="AG31" s="164">
        <f t="shared" si="74"/>
        <v>0.845</v>
      </c>
      <c r="AH31" s="164">
        <f t="shared" ref="AH31:AJ31" si="75">AG31-1%</f>
        <v>0.835</v>
      </c>
      <c r="AI31" s="164">
        <f t="shared" si="75"/>
        <v>0.825</v>
      </c>
      <c r="AJ31" s="164">
        <f t="shared" si="75"/>
        <v>0.815</v>
      </c>
      <c r="AK31" s="164">
        <f t="shared" ref="AK31:AM31" si="76">AJ31+1%</f>
        <v>0.825</v>
      </c>
      <c r="AL31" s="164">
        <f t="shared" si="76"/>
        <v>0.835</v>
      </c>
      <c r="AM31" s="164">
        <f t="shared" si="76"/>
        <v>0.845</v>
      </c>
      <c r="AN31" s="164">
        <f>AM31+2.5%</f>
        <v>0.87</v>
      </c>
      <c r="AO31" s="164">
        <f t="shared" ref="AO31:AO32" si="82">AO28/AO11</f>
        <v>0.8495239872</v>
      </c>
      <c r="AP31" s="164">
        <f>AO31+2%</f>
        <v>0.8695239872</v>
      </c>
      <c r="AQ31" s="164">
        <f t="shared" ref="AQ31:BA31" si="77">AP31+0.5%</f>
        <v>0.8745239872</v>
      </c>
      <c r="AR31" s="164">
        <f t="shared" si="77"/>
        <v>0.8795239872</v>
      </c>
      <c r="AS31" s="164">
        <f t="shared" si="77"/>
        <v>0.8845239872</v>
      </c>
      <c r="AT31" s="164">
        <f t="shared" si="77"/>
        <v>0.8895239872</v>
      </c>
      <c r="AU31" s="164">
        <f t="shared" si="77"/>
        <v>0.8945239872</v>
      </c>
      <c r="AV31" s="164">
        <f t="shared" si="77"/>
        <v>0.8995239872</v>
      </c>
      <c r="AW31" s="164">
        <f t="shared" si="77"/>
        <v>0.9045239872</v>
      </c>
      <c r="AX31" s="164">
        <f t="shared" si="77"/>
        <v>0.9095239872</v>
      </c>
      <c r="AY31" s="164">
        <f t="shared" si="77"/>
        <v>0.9145239872</v>
      </c>
      <c r="AZ31" s="164">
        <f t="shared" si="77"/>
        <v>0.9195239872</v>
      </c>
      <c r="BA31" s="164">
        <f t="shared" si="77"/>
        <v>0.9245239872</v>
      </c>
      <c r="BB31" s="164">
        <f>BB28/BB11</f>
        <v>0.8973123296</v>
      </c>
      <c r="BC31" s="66">
        <f>AVERAGE(AC31:AE31)</f>
        <v>0.8783333333</v>
      </c>
      <c r="BD31" s="66">
        <f>AVERAGE(AF31:AH31)</f>
        <v>0.8483333333</v>
      </c>
      <c r="BE31" s="142"/>
      <c r="BF31" s="4"/>
      <c r="BG31" s="4"/>
      <c r="BH31" s="4"/>
      <c r="BI31" s="4"/>
      <c r="BJ31" s="4"/>
      <c r="BK31" s="4"/>
      <c r="BL31" s="4"/>
      <c r="BM31" s="165"/>
      <c r="BN31" s="142"/>
      <c r="BO31" s="4"/>
      <c r="BP31" s="4"/>
      <c r="BQ31" s="4"/>
      <c r="BR31" s="4"/>
      <c r="BS31" s="4"/>
      <c r="BT31" s="4"/>
      <c r="BU31" s="4"/>
      <c r="BV31" s="165"/>
      <c r="BW31" s="142"/>
      <c r="BX31" s="4"/>
      <c r="BY31" s="4"/>
      <c r="BZ31" s="4"/>
      <c r="CA31" s="4"/>
      <c r="CB31" s="4"/>
      <c r="CC31" s="4"/>
      <c r="CD31" s="4"/>
      <c r="CE31" s="165"/>
      <c r="CF31" s="165"/>
      <c r="CG31" s="165"/>
      <c r="CH31" s="165"/>
      <c r="CI31" s="165"/>
      <c r="CJ31" s="165"/>
      <c r="CK31" s="165"/>
      <c r="CL31" s="165"/>
      <c r="CM31" s="165"/>
      <c r="CN31" s="165"/>
      <c r="CO31" s="165"/>
      <c r="CP31" s="165"/>
      <c r="CQ31" s="165"/>
      <c r="CR31" s="165"/>
      <c r="CS31" s="165"/>
      <c r="CT31" s="165"/>
      <c r="CU31" s="165"/>
      <c r="CV31" s="165"/>
      <c r="CW31" s="165"/>
      <c r="CX31" s="165"/>
      <c r="CY31" s="165"/>
      <c r="CZ31" s="165"/>
      <c r="DA31" s="165"/>
      <c r="DB31" s="165"/>
      <c r="DC31" s="165"/>
      <c r="DD31" s="165"/>
      <c r="DE31" s="165"/>
      <c r="DF31" s="165"/>
      <c r="DG31" s="165"/>
      <c r="DH31" s="165"/>
      <c r="DI31" s="165"/>
      <c r="DJ31" s="166"/>
      <c r="DK31" s="166"/>
      <c r="DL31" s="166"/>
      <c r="DM31" s="166"/>
      <c r="DN31" s="166"/>
      <c r="DO31" s="166"/>
      <c r="DP31" s="166"/>
      <c r="DQ31" s="166"/>
      <c r="DR31" s="166"/>
      <c r="DS31" s="166"/>
      <c r="DT31" s="166"/>
      <c r="DU31" s="166"/>
      <c r="DV31" s="166"/>
      <c r="DW31" s="166"/>
      <c r="DX31" s="166"/>
      <c r="DY31" s="166"/>
      <c r="DZ31" s="166"/>
    </row>
    <row r="32" ht="12.0" customHeight="1">
      <c r="A32" s="67"/>
      <c r="B32" s="68" t="s">
        <v>109</v>
      </c>
      <c r="C32" s="53">
        <f t="shared" ref="C32:N32" si="78">C4</f>
        <v>0.3719597864</v>
      </c>
      <c r="D32" s="53">
        <f t="shared" si="78"/>
        <v>0.3836310823</v>
      </c>
      <c r="E32" s="53">
        <f t="shared" si="78"/>
        <v>0.3726678544</v>
      </c>
      <c r="F32" s="53">
        <f t="shared" si="78"/>
        <v>0.3874086604</v>
      </c>
      <c r="G32" s="53">
        <f t="shared" si="78"/>
        <v>0.3773983799</v>
      </c>
      <c r="H32" s="53">
        <f t="shared" si="78"/>
        <v>0.4081687865</v>
      </c>
      <c r="I32" s="53">
        <f t="shared" si="78"/>
        <v>0.3591679358</v>
      </c>
      <c r="J32" s="53">
        <f t="shared" si="78"/>
        <v>0.4064363329</v>
      </c>
      <c r="K32" s="53">
        <f t="shared" si="78"/>
        <v>0.4694898291</v>
      </c>
      <c r="L32" s="53">
        <f t="shared" si="78"/>
        <v>0.456875773</v>
      </c>
      <c r="M32" s="53">
        <f t="shared" si="78"/>
        <v>0.4036515428</v>
      </c>
      <c r="N32" s="53">
        <f t="shared" si="78"/>
        <v>0.45559279</v>
      </c>
      <c r="O32" s="53">
        <f>O29/O12</f>
        <v>0.4050385005</v>
      </c>
      <c r="P32" s="53">
        <f t="shared" ref="P32:AA32" si="79">P4</f>
        <v>0.4811775038</v>
      </c>
      <c r="Q32" s="53">
        <f t="shared" si="79"/>
        <v>0.6085758048</v>
      </c>
      <c r="R32" s="53">
        <f t="shared" si="79"/>
        <v>0.4102777304</v>
      </c>
      <c r="S32" s="53">
        <f t="shared" si="79"/>
        <v>0.3906478479</v>
      </c>
      <c r="T32" s="53">
        <f t="shared" si="79"/>
        <v>0.4240310694</v>
      </c>
      <c r="U32" s="53">
        <f t="shared" si="79"/>
        <v>0.5182663425</v>
      </c>
      <c r="V32" s="53">
        <f t="shared" si="79"/>
        <v>0.4566104198</v>
      </c>
      <c r="W32" s="53">
        <f t="shared" si="79"/>
        <v>0.690777547</v>
      </c>
      <c r="X32" s="53">
        <f t="shared" si="79"/>
        <v>0.7655238553</v>
      </c>
      <c r="Y32" s="53">
        <f t="shared" si="79"/>
        <v>0.7408515836</v>
      </c>
      <c r="Z32" s="53">
        <f t="shared" si="79"/>
        <v>0.7926620471</v>
      </c>
      <c r="AA32" s="53">
        <f t="shared" si="79"/>
        <v>0.6553127504</v>
      </c>
      <c r="AB32" s="53">
        <f t="shared" si="80"/>
        <v>0.5815522897</v>
      </c>
      <c r="AC32" s="53">
        <f t="shared" ref="AC32:AN32" si="81">AC4</f>
        <v>0.8174766822</v>
      </c>
      <c r="AD32" s="53">
        <f t="shared" si="81"/>
        <v>0.8630021086</v>
      </c>
      <c r="AE32" s="53">
        <f t="shared" si="81"/>
        <v>0.8502052894</v>
      </c>
      <c r="AF32" s="53">
        <f t="shared" si="81"/>
        <v>0.7793924617</v>
      </c>
      <c r="AG32" s="53">
        <f t="shared" si="81"/>
        <v>0.8106056829</v>
      </c>
      <c r="AH32" s="53">
        <f t="shared" si="81"/>
        <v>0.8268195752</v>
      </c>
      <c r="AI32" s="53">
        <f t="shared" si="81"/>
        <v>0.809376401</v>
      </c>
      <c r="AJ32" s="53">
        <f t="shared" si="81"/>
        <v>0.8160919969</v>
      </c>
      <c r="AK32" s="53">
        <f t="shared" si="81"/>
        <v>0.8297605153</v>
      </c>
      <c r="AL32" s="53">
        <f t="shared" si="81"/>
        <v>0.749581349</v>
      </c>
      <c r="AM32" s="53">
        <f t="shared" si="81"/>
        <v>0.836110664</v>
      </c>
      <c r="AN32" s="53">
        <f t="shared" si="81"/>
        <v>0.9058061313</v>
      </c>
      <c r="AO32" s="53">
        <f t="shared" si="82"/>
        <v>0.8244461861</v>
      </c>
      <c r="AP32" s="53">
        <f t="shared" ref="AP32:BB32" si="83">AP4</f>
        <v>0.9365519575</v>
      </c>
      <c r="AQ32" s="53">
        <f t="shared" si="83"/>
        <v>0.9164010556</v>
      </c>
      <c r="AR32" s="53">
        <f t="shared" si="83"/>
        <v>0.9001590451</v>
      </c>
      <c r="AS32" s="53">
        <f t="shared" si="83"/>
        <v>0.879994338</v>
      </c>
      <c r="AT32" s="53">
        <f t="shared" si="83"/>
        <v>0.899774383</v>
      </c>
      <c r="AU32" s="53">
        <f t="shared" si="83"/>
        <v>0.8538076094</v>
      </c>
      <c r="AV32" s="53" t="str">
        <f t="shared" si="83"/>
        <v/>
      </c>
      <c r="AW32" s="53" t="str">
        <f t="shared" si="83"/>
        <v/>
      </c>
      <c r="AX32" s="53" t="str">
        <f t="shared" si="83"/>
        <v/>
      </c>
      <c r="AY32" s="53" t="str">
        <f t="shared" si="83"/>
        <v/>
      </c>
      <c r="AZ32" s="53" t="str">
        <f t="shared" si="83"/>
        <v/>
      </c>
      <c r="BA32" s="53" t="str">
        <f t="shared" si="83"/>
        <v/>
      </c>
      <c r="BB32" s="53">
        <f t="shared" si="83"/>
        <v>0.897847221</v>
      </c>
      <c r="BC32" s="66">
        <f t="shared" ref="BC32:BD32" si="84">BC29/BC12</f>
        <v>0.8427366923</v>
      </c>
      <c r="BD32" s="66">
        <f t="shared" si="84"/>
        <v>0.8059252047</v>
      </c>
      <c r="BE32" s="46"/>
      <c r="BF32" s="41" t="s">
        <v>55</v>
      </c>
      <c r="BG32" s="93" t="s">
        <v>56</v>
      </c>
      <c r="BH32" s="22"/>
      <c r="BI32" s="93" t="s">
        <v>57</v>
      </c>
      <c r="BJ32" s="22"/>
      <c r="BK32" s="93" t="s">
        <v>58</v>
      </c>
      <c r="BL32" s="22"/>
      <c r="BM32" s="165"/>
      <c r="BN32" s="46"/>
      <c r="BO32" s="41" t="s">
        <v>55</v>
      </c>
      <c r="BP32" s="93" t="s">
        <v>56</v>
      </c>
      <c r="BQ32" s="22"/>
      <c r="BR32" s="93" t="s">
        <v>57</v>
      </c>
      <c r="BS32" s="22"/>
      <c r="BT32" s="93" t="s">
        <v>58</v>
      </c>
      <c r="BU32" s="22"/>
      <c r="BV32" s="165"/>
      <c r="BW32" s="46"/>
      <c r="BX32" s="41" t="s">
        <v>55</v>
      </c>
      <c r="BY32" s="93" t="s">
        <v>56</v>
      </c>
      <c r="BZ32" s="22"/>
      <c r="CA32" s="93" t="s">
        <v>57</v>
      </c>
      <c r="CB32" s="22"/>
      <c r="CC32" s="93" t="s">
        <v>58</v>
      </c>
      <c r="CD32" s="22"/>
      <c r="CE32" s="165"/>
      <c r="CF32" s="165"/>
      <c r="CG32" s="165"/>
      <c r="CH32" s="165"/>
      <c r="CI32" s="165"/>
      <c r="CJ32" s="165"/>
      <c r="CK32" s="165"/>
      <c r="CL32" s="165"/>
      <c r="CM32" s="165"/>
      <c r="CN32" s="165"/>
      <c r="CO32" s="165"/>
      <c r="CP32" s="165"/>
      <c r="CQ32" s="165"/>
      <c r="CR32" s="165"/>
      <c r="CS32" s="165"/>
      <c r="CT32" s="165"/>
      <c r="CU32" s="165"/>
      <c r="CV32" s="165"/>
      <c r="CW32" s="165"/>
      <c r="CX32" s="165"/>
      <c r="CY32" s="165"/>
      <c r="CZ32" s="165"/>
      <c r="DA32" s="165"/>
      <c r="DB32" s="165"/>
      <c r="DC32" s="165"/>
      <c r="DD32" s="165"/>
      <c r="DE32" s="165"/>
      <c r="DF32" s="165"/>
      <c r="DG32" s="165"/>
      <c r="DH32" s="165"/>
      <c r="DI32" s="165"/>
      <c r="DJ32" s="146"/>
    </row>
    <row r="33" ht="12.0" customHeight="1">
      <c r="A33" s="6"/>
      <c r="B33" s="91" t="s">
        <v>110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73"/>
      <c r="P33" s="37"/>
      <c r="Q33" s="37"/>
      <c r="R33" s="37"/>
      <c r="S33" s="37"/>
      <c r="T33" s="37"/>
      <c r="U33" s="37"/>
      <c r="V33" s="37"/>
      <c r="W33" s="37">
        <v>81066.0</v>
      </c>
      <c r="X33" s="37">
        <v>97494.0</v>
      </c>
      <c r="Y33" s="37">
        <v>121590.0</v>
      </c>
      <c r="Z33" s="37">
        <v>143125.0</v>
      </c>
      <c r="AA33" s="37">
        <v>177847.0</v>
      </c>
      <c r="AB33" s="73"/>
      <c r="AC33" s="37">
        <v>157370.0</v>
      </c>
      <c r="AD33" s="37">
        <v>142652.0</v>
      </c>
      <c r="AE33" s="37">
        <v>173463.0</v>
      </c>
      <c r="AF33" s="37">
        <v>182099.0</v>
      </c>
      <c r="AG33" s="37">
        <v>200756.0</v>
      </c>
      <c r="AH33" s="37">
        <v>190903.0</v>
      </c>
      <c r="AI33" s="37">
        <v>163590.0</v>
      </c>
      <c r="AJ33" s="37">
        <v>144253.0</v>
      </c>
      <c r="AK33" s="37">
        <v>162002.0</v>
      </c>
      <c r="AL33" s="37">
        <v>179927.0</v>
      </c>
      <c r="AM33" s="37">
        <v>179694.0</v>
      </c>
      <c r="AN33" s="37">
        <v>157336.0</v>
      </c>
      <c r="AO33" s="73"/>
      <c r="AP33" s="37">
        <v>153893.0</v>
      </c>
      <c r="AQ33" s="37">
        <v>127549.0</v>
      </c>
      <c r="AR33" s="37">
        <v>157421.0</v>
      </c>
      <c r="AS33" s="37">
        <v>171955.0</v>
      </c>
      <c r="AT33" s="37">
        <v>1000137.0</v>
      </c>
      <c r="AU33" s="37">
        <v>161187.0</v>
      </c>
      <c r="AV33" s="37"/>
      <c r="AW33" s="37"/>
      <c r="AX33" s="37"/>
      <c r="AY33" s="37"/>
      <c r="AZ33" s="37"/>
      <c r="BA33" s="37"/>
      <c r="BB33" s="73"/>
      <c r="BC33" s="99"/>
      <c r="BD33" s="99"/>
      <c r="BE33" s="158" t="s">
        <v>156</v>
      </c>
      <c r="BF33" s="43" t="s">
        <v>84</v>
      </c>
      <c r="BG33" s="94" t="s">
        <v>62</v>
      </c>
      <c r="BH33" s="29" t="s">
        <v>63</v>
      </c>
      <c r="BI33" s="95" t="s">
        <v>62</v>
      </c>
      <c r="BJ33" s="43" t="s">
        <v>63</v>
      </c>
      <c r="BK33" s="95" t="s">
        <v>62</v>
      </c>
      <c r="BL33" s="43" t="s">
        <v>63</v>
      </c>
      <c r="BM33" s="99"/>
      <c r="BN33" s="158" t="s">
        <v>156</v>
      </c>
      <c r="BO33" s="43" t="s">
        <v>84</v>
      </c>
      <c r="BP33" s="94" t="s">
        <v>62</v>
      </c>
      <c r="BQ33" s="29" t="s">
        <v>63</v>
      </c>
      <c r="BR33" s="95" t="s">
        <v>62</v>
      </c>
      <c r="BS33" s="43" t="s">
        <v>63</v>
      </c>
      <c r="BT33" s="95" t="s">
        <v>62</v>
      </c>
      <c r="BU33" s="43" t="s">
        <v>63</v>
      </c>
      <c r="BV33" s="99"/>
      <c r="BW33" s="158" t="s">
        <v>156</v>
      </c>
      <c r="BX33" s="43" t="s">
        <v>84</v>
      </c>
      <c r="BY33" s="94" t="s">
        <v>62</v>
      </c>
      <c r="BZ33" s="29" t="s">
        <v>63</v>
      </c>
      <c r="CA33" s="95" t="s">
        <v>62</v>
      </c>
      <c r="CB33" s="43" t="s">
        <v>63</v>
      </c>
      <c r="CC33" s="95" t="s">
        <v>62</v>
      </c>
      <c r="CD33" s="43" t="s">
        <v>63</v>
      </c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/>
      <c r="DE33" s="99"/>
      <c r="DF33" s="99"/>
      <c r="DG33" s="99"/>
      <c r="DH33" s="99"/>
      <c r="DI33" s="99"/>
      <c r="DJ33" s="146"/>
    </row>
    <row r="34" ht="12.0" customHeight="1">
      <c r="A34" s="6"/>
      <c r="B34" s="91" t="s">
        <v>112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73"/>
      <c r="P34" s="37"/>
      <c r="Q34" s="37"/>
      <c r="R34" s="37"/>
      <c r="S34" s="37"/>
      <c r="T34" s="37"/>
      <c r="U34" s="37"/>
      <c r="V34" s="37"/>
      <c r="W34" s="37">
        <f t="shared" ref="W34:AA34" si="85">W33/W8/W7</f>
        <v>130.7516129</v>
      </c>
      <c r="X34" s="37">
        <f t="shared" si="85"/>
        <v>162.49</v>
      </c>
      <c r="Y34" s="37">
        <f t="shared" si="85"/>
        <v>196.1129032</v>
      </c>
      <c r="Z34" s="37">
        <f t="shared" si="85"/>
        <v>238.5416667</v>
      </c>
      <c r="AA34" s="37">
        <f t="shared" si="85"/>
        <v>286.85</v>
      </c>
      <c r="AB34" s="73"/>
      <c r="AC34" s="37">
        <f t="shared" ref="AC34:AN34" si="86">AC33/AC8/AC7</f>
        <v>253.8225806</v>
      </c>
      <c r="AD34" s="37">
        <f t="shared" si="86"/>
        <v>245.9517241</v>
      </c>
      <c r="AE34" s="37">
        <f t="shared" si="86"/>
        <v>279.7790323</v>
      </c>
      <c r="AF34" s="37">
        <f t="shared" si="86"/>
        <v>303.4983333</v>
      </c>
      <c r="AG34" s="37">
        <f t="shared" si="86"/>
        <v>323.8</v>
      </c>
      <c r="AH34" s="37">
        <f t="shared" si="86"/>
        <v>318.1716667</v>
      </c>
      <c r="AI34" s="37">
        <f t="shared" si="86"/>
        <v>263.8548387</v>
      </c>
      <c r="AJ34" s="37">
        <f t="shared" si="86"/>
        <v>232.666129</v>
      </c>
      <c r="AK34" s="37">
        <f t="shared" si="86"/>
        <v>270.0033333</v>
      </c>
      <c r="AL34" s="37">
        <f t="shared" si="86"/>
        <v>290.2048387</v>
      </c>
      <c r="AM34" s="37">
        <f t="shared" si="86"/>
        <v>299.49</v>
      </c>
      <c r="AN34" s="37">
        <f t="shared" si="86"/>
        <v>253.7677419</v>
      </c>
      <c r="AO34" s="73"/>
      <c r="AP34" s="37">
        <f t="shared" ref="AP34:BA34" si="87">AP33/AP8/AP7</f>
        <v>248.2145161</v>
      </c>
      <c r="AQ34" s="37">
        <f t="shared" si="87"/>
        <v>227.7660714</v>
      </c>
      <c r="AR34" s="37">
        <f t="shared" si="87"/>
        <v>253.9048387</v>
      </c>
      <c r="AS34" s="37">
        <f t="shared" si="87"/>
        <v>301.6754386</v>
      </c>
      <c r="AT34" s="37">
        <f t="shared" si="87"/>
        <v>1698.025467</v>
      </c>
      <c r="AU34" s="37">
        <f t="shared" si="87"/>
        <v>282.7842105</v>
      </c>
      <c r="AV34" s="37">
        <f t="shared" si="87"/>
        <v>0</v>
      </c>
      <c r="AW34" s="37">
        <f t="shared" si="87"/>
        <v>0</v>
      </c>
      <c r="AX34" s="37">
        <f t="shared" si="87"/>
        <v>0</v>
      </c>
      <c r="AY34" s="37">
        <f t="shared" si="87"/>
        <v>0</v>
      </c>
      <c r="AZ34" s="37">
        <f t="shared" si="87"/>
        <v>0</v>
      </c>
      <c r="BA34" s="37">
        <f t="shared" si="87"/>
        <v>0</v>
      </c>
      <c r="BB34" s="73"/>
      <c r="BC34" s="99"/>
      <c r="BD34" s="99"/>
      <c r="BE34" s="46" t="s">
        <v>113</v>
      </c>
      <c r="BF34" s="41">
        <f t="shared" ref="BF34:BK34" si="88">BF25</f>
        <v>2235</v>
      </c>
      <c r="BG34" s="41">
        <f t="shared" si="88"/>
        <v>2300</v>
      </c>
      <c r="BH34" s="41">
        <f t="shared" si="88"/>
        <v>3215</v>
      </c>
      <c r="BI34" s="41">
        <f t="shared" si="88"/>
        <v>3500</v>
      </c>
      <c r="BJ34" s="41">
        <f t="shared" si="88"/>
        <v>4845</v>
      </c>
      <c r="BK34" s="41">
        <f t="shared" si="88"/>
        <v>5300</v>
      </c>
      <c r="BL34" s="41"/>
      <c r="BM34" s="99"/>
      <c r="BN34" s="46" t="s">
        <v>113</v>
      </c>
      <c r="BO34" s="41" t="str">
        <f t="shared" ref="BO34:BR34" si="89">#REF!</f>
        <v>#REF!</v>
      </c>
      <c r="BP34" s="41" t="str">
        <f t="shared" si="89"/>
        <v>#REF!</v>
      </c>
      <c r="BQ34" s="41" t="str">
        <f t="shared" si="89"/>
        <v>#REF!</v>
      </c>
      <c r="BR34" s="41" t="str">
        <f t="shared" si="89"/>
        <v>#REF!</v>
      </c>
      <c r="BS34" s="41"/>
      <c r="BT34" s="41">
        <v>4000.0</v>
      </c>
      <c r="BU34" s="41"/>
      <c r="BV34" s="99"/>
      <c r="BW34" s="46" t="s">
        <v>113</v>
      </c>
      <c r="BX34" s="41">
        <f>N39</f>
        <v>2235</v>
      </c>
      <c r="BY34" s="41">
        <f>AA38</f>
        <v>2300</v>
      </c>
      <c r="BZ34" s="41">
        <f>AA39</f>
        <v>3215</v>
      </c>
      <c r="CA34" s="41">
        <f>AN38</f>
        <v>3500</v>
      </c>
      <c r="CB34" s="41"/>
      <c r="CC34" s="41">
        <v>4000.0</v>
      </c>
      <c r="CD34" s="41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/>
      <c r="DE34" s="99"/>
      <c r="DF34" s="99"/>
      <c r="DG34" s="99"/>
      <c r="DH34" s="99"/>
      <c r="DI34" s="99"/>
      <c r="DJ34" s="146"/>
    </row>
    <row r="35" ht="12.0" customHeight="1">
      <c r="A35" s="6"/>
      <c r="B35" s="91" t="s">
        <v>114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73"/>
      <c r="P35" s="37"/>
      <c r="Q35" s="37"/>
      <c r="R35" s="37"/>
      <c r="S35" s="37"/>
      <c r="T35" s="37"/>
      <c r="U35" s="37"/>
      <c r="V35" s="37"/>
      <c r="W35" s="76">
        <f t="shared" ref="W35:AA35" si="90">W33/W12</f>
        <v>0.05094495072</v>
      </c>
      <c r="X35" s="76">
        <f t="shared" si="90"/>
        <v>0.05376588397</v>
      </c>
      <c r="Y35" s="76">
        <f t="shared" si="90"/>
        <v>0.06193863496</v>
      </c>
      <c r="Z35" s="76">
        <f t="shared" si="90"/>
        <v>0.07157105274</v>
      </c>
      <c r="AA35" s="76">
        <f t="shared" si="90"/>
        <v>0.08446665897</v>
      </c>
      <c r="AB35" s="80"/>
      <c r="AC35" s="76">
        <f t="shared" ref="AC35:AN35" si="91">AC33/AC12</f>
        <v>0.0753272141</v>
      </c>
      <c r="AD35" s="76">
        <f t="shared" si="91"/>
        <v>0.0754810427</v>
      </c>
      <c r="AE35" s="76">
        <f t="shared" si="91"/>
        <v>0.08951764725</v>
      </c>
      <c r="AF35" s="76">
        <f t="shared" si="91"/>
        <v>0.09437856221</v>
      </c>
      <c r="AG35" s="76">
        <f t="shared" si="91"/>
        <v>0.09717374437</v>
      </c>
      <c r="AH35" s="76">
        <f t="shared" si="91"/>
        <v>0.09605994368</v>
      </c>
      <c r="AI35" s="76">
        <f t="shared" si="91"/>
        <v>0.08400892932</v>
      </c>
      <c r="AJ35" s="74">
        <f t="shared" si="91"/>
        <v>0.07682365171</v>
      </c>
      <c r="AK35" s="74">
        <f t="shared" si="91"/>
        <v>0.08757589141</v>
      </c>
      <c r="AL35" s="74">
        <f t="shared" si="91"/>
        <v>0.09113928795</v>
      </c>
      <c r="AM35" s="74">
        <f t="shared" si="91"/>
        <v>0.09240034493</v>
      </c>
      <c r="AN35" s="74">
        <f t="shared" si="91"/>
        <v>0.07858112856</v>
      </c>
      <c r="AO35" s="80"/>
      <c r="AP35" s="74">
        <f t="shared" ref="AP35:BA35" si="92">IFERROR(AP33/AP12,0)</f>
        <v>0.0768031086</v>
      </c>
      <c r="AQ35" s="74">
        <f t="shared" si="92"/>
        <v>0.07167510328</v>
      </c>
      <c r="AR35" s="74">
        <f t="shared" si="92"/>
        <v>0.07981202567</v>
      </c>
      <c r="AS35" s="74">
        <f t="shared" si="92"/>
        <v>0.08600807587</v>
      </c>
      <c r="AT35" s="74">
        <f t="shared" si="92"/>
        <v>0.4740502519</v>
      </c>
      <c r="AU35" s="74">
        <f t="shared" si="92"/>
        <v>0.0850092637</v>
      </c>
      <c r="AV35" s="74">
        <f t="shared" si="92"/>
        <v>0</v>
      </c>
      <c r="AW35" s="74">
        <f t="shared" si="92"/>
        <v>0</v>
      </c>
      <c r="AX35" s="74">
        <f t="shared" si="92"/>
        <v>0</v>
      </c>
      <c r="AY35" s="74">
        <f t="shared" si="92"/>
        <v>0</v>
      </c>
      <c r="AZ35" s="74">
        <f t="shared" si="92"/>
        <v>0</v>
      </c>
      <c r="BA35" s="74">
        <f t="shared" si="92"/>
        <v>0</v>
      </c>
      <c r="BB35" s="80"/>
      <c r="BC35" s="99"/>
      <c r="BD35" s="99"/>
      <c r="BE35" s="178" t="s">
        <v>116</v>
      </c>
      <c r="BF35" s="86">
        <f>O45</f>
        <v>50</v>
      </c>
      <c r="BG35" s="86">
        <f>AB46</f>
        <v>130</v>
      </c>
      <c r="BH35" s="86">
        <f>AB45</f>
        <v>131</v>
      </c>
      <c r="BI35" s="86">
        <f>AO46</f>
        <v>190</v>
      </c>
      <c r="BJ35" s="86">
        <f>AO45</f>
        <v>221</v>
      </c>
      <c r="BK35" s="86">
        <f>BB46</f>
        <v>200</v>
      </c>
      <c r="BL35" s="52"/>
      <c r="BM35" s="99"/>
      <c r="BN35" s="178" t="s">
        <v>116</v>
      </c>
      <c r="BO35" s="41" t="str">
        <f t="shared" ref="BO35:BR35" si="93">#REF!</f>
        <v>#REF!</v>
      </c>
      <c r="BP35" s="41" t="str">
        <f t="shared" si="93"/>
        <v>#REF!</v>
      </c>
      <c r="BQ35" s="41" t="str">
        <f t="shared" si="93"/>
        <v>#REF!</v>
      </c>
      <c r="BR35" s="41" t="str">
        <f t="shared" si="93"/>
        <v>#REF!</v>
      </c>
      <c r="BS35" s="98"/>
      <c r="BT35" s="98">
        <v>210.0</v>
      </c>
      <c r="BU35" s="98"/>
      <c r="BV35" s="99"/>
      <c r="BW35" s="178" t="s">
        <v>116</v>
      </c>
      <c r="BX35" s="41">
        <f t="shared" ref="BX35:BX36" si="94">N44</f>
        <v>83</v>
      </c>
      <c r="BY35" s="41">
        <f>AA44</f>
        <v>136</v>
      </c>
      <c r="BZ35" s="41">
        <f t="shared" ref="BZ35:BZ36" si="95">AA44</f>
        <v>136</v>
      </c>
      <c r="CA35" s="41">
        <f>AN44</f>
        <v>199</v>
      </c>
      <c r="CB35" s="98"/>
      <c r="CC35" s="98">
        <v>210.0</v>
      </c>
      <c r="CD35" s="98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/>
      <c r="DE35" s="99"/>
      <c r="DF35" s="99"/>
      <c r="DG35" s="99"/>
      <c r="DH35" s="99"/>
      <c r="DI35" s="99"/>
      <c r="DJ35" s="146"/>
    </row>
    <row r="36" ht="12.0" customHeight="1">
      <c r="A36" s="6"/>
      <c r="B36" s="91" t="s">
        <v>117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73"/>
      <c r="P36" s="37"/>
      <c r="Q36" s="37"/>
      <c r="R36" s="37"/>
      <c r="S36" s="37"/>
      <c r="T36" s="37"/>
      <c r="U36" s="37"/>
      <c r="V36" s="37"/>
      <c r="W36" s="37">
        <v>1168602.0</v>
      </c>
      <c r="X36" s="37">
        <v>1327660.0</v>
      </c>
      <c r="Y36" s="37">
        <v>1515156.0</v>
      </c>
      <c r="Z36" s="37">
        <v>1669230.0</v>
      </c>
      <c r="AA36" s="37">
        <v>1415390.0</v>
      </c>
      <c r="AB36" s="73"/>
      <c r="AC36" s="37">
        <v>1728354.0</v>
      </c>
      <c r="AD36" s="37">
        <v>1661983.0</v>
      </c>
      <c r="AE36" s="37">
        <v>1689728.0</v>
      </c>
      <c r="AF36" s="37">
        <v>1536143.0</v>
      </c>
      <c r="AG36" s="37">
        <v>1729149.0</v>
      </c>
      <c r="AH36" s="37">
        <v>1708183.0</v>
      </c>
      <c r="AI36" s="37">
        <v>1642772.0</v>
      </c>
      <c r="AJ36" s="37">
        <v>1596924.0</v>
      </c>
      <c r="AK36" s="37">
        <v>1613357.0</v>
      </c>
      <c r="AL36" s="37">
        <v>1549806.0</v>
      </c>
      <c r="AM36" s="37">
        <v>1670976.0</v>
      </c>
      <c r="AN36" s="37">
        <v>1853738.0</v>
      </c>
      <c r="AO36" s="73"/>
      <c r="AP36" s="37">
        <v>1913818.0</v>
      </c>
      <c r="AQ36" s="37">
        <v>1665298.0</v>
      </c>
      <c r="AR36" s="37">
        <v>1821315.0</v>
      </c>
      <c r="AS36" s="37">
        <v>1803923.0</v>
      </c>
      <c r="AT36" s="37">
        <v>1955491.0</v>
      </c>
      <c r="AU36" s="37">
        <v>1648031.0</v>
      </c>
      <c r="AV36" s="37"/>
      <c r="AW36" s="37"/>
      <c r="AX36" s="37"/>
      <c r="AY36" s="37"/>
      <c r="AZ36" s="37"/>
      <c r="BA36" s="37"/>
      <c r="BB36" s="73"/>
      <c r="BC36" s="99"/>
      <c r="BD36" s="99"/>
      <c r="BV36" s="99"/>
      <c r="BW36" s="46" t="s">
        <v>157</v>
      </c>
      <c r="BX36" s="96">
        <f t="shared" si="94"/>
        <v>50</v>
      </c>
      <c r="BY36" s="96">
        <f>AA46</f>
        <v>130</v>
      </c>
      <c r="BZ36" s="96">
        <f t="shared" si="95"/>
        <v>131</v>
      </c>
      <c r="CA36" s="96">
        <f>AN46</f>
        <v>190</v>
      </c>
      <c r="CB36" s="96"/>
      <c r="CC36" s="96">
        <f>CC37*CC35</f>
        <v>199.5</v>
      </c>
      <c r="CD36" s="41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139"/>
      <c r="DK36" s="99"/>
      <c r="DL36" s="99"/>
      <c r="DM36" s="99"/>
      <c r="DN36" s="159"/>
      <c r="DO36" s="99"/>
      <c r="DP36" s="99"/>
      <c r="DQ36" s="99"/>
    </row>
    <row r="37" ht="12.0" customHeight="1">
      <c r="A37" s="6"/>
      <c r="B37" s="91" t="s">
        <v>118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73"/>
      <c r="P37" s="37"/>
      <c r="Q37" s="37"/>
      <c r="R37" s="37"/>
      <c r="S37" s="37"/>
      <c r="T37" s="37"/>
      <c r="U37" s="37"/>
      <c r="V37" s="37"/>
      <c r="W37" s="74">
        <f t="shared" ref="W37:AA37" si="96">W36/W12</f>
        <v>0.7343938433</v>
      </c>
      <c r="X37" s="74">
        <f t="shared" si="96"/>
        <v>0.7321764777</v>
      </c>
      <c r="Y37" s="74">
        <f t="shared" si="96"/>
        <v>0.7718290516</v>
      </c>
      <c r="Z37" s="74">
        <f t="shared" si="96"/>
        <v>0.8347147484</v>
      </c>
      <c r="AA37" s="74">
        <f t="shared" si="96"/>
        <v>0.6722253647</v>
      </c>
      <c r="AB37" s="168"/>
      <c r="AC37" s="74">
        <f t="shared" ref="AC37:AN37" si="97">AC36/AC12</f>
        <v>0.8272993061</v>
      </c>
      <c r="AD37" s="74">
        <f t="shared" si="97"/>
        <v>0.8794002873</v>
      </c>
      <c r="AE37" s="74">
        <f t="shared" si="97"/>
        <v>0.8720042606</v>
      </c>
      <c r="AF37" s="74">
        <f t="shared" si="97"/>
        <v>0.7961546615</v>
      </c>
      <c r="AG37" s="74">
        <f t="shared" si="97"/>
        <v>0.8369756465</v>
      </c>
      <c r="AH37" s="74">
        <f t="shared" si="97"/>
        <v>0.8595357998</v>
      </c>
      <c r="AI37" s="74">
        <f t="shared" si="97"/>
        <v>0.8436182947</v>
      </c>
      <c r="AJ37" s="74">
        <f t="shared" si="97"/>
        <v>0.8504608791</v>
      </c>
      <c r="AK37" s="74">
        <f t="shared" si="97"/>
        <v>0.8721569946</v>
      </c>
      <c r="AL37" s="74">
        <f t="shared" si="97"/>
        <v>0.7850306808</v>
      </c>
      <c r="AM37" s="74">
        <f t="shared" si="97"/>
        <v>0.8592315757</v>
      </c>
      <c r="AN37" s="74">
        <f t="shared" si="97"/>
        <v>0.9258454778</v>
      </c>
      <c r="AO37" s="168"/>
      <c r="AP37" s="74">
        <f t="shared" ref="AP37:BA37" si="98">IFERROR(AP36/AP12,0)</f>
        <v>0.9551257802</v>
      </c>
      <c r="AQ37" s="74">
        <f t="shared" si="98"/>
        <v>0.9358004073</v>
      </c>
      <c r="AR37" s="74">
        <f t="shared" si="98"/>
        <v>0.9234018304</v>
      </c>
      <c r="AS37" s="74">
        <f t="shared" si="98"/>
        <v>0.9022822613</v>
      </c>
      <c r="AT37" s="74">
        <f t="shared" si="98"/>
        <v>0.9268740194</v>
      </c>
      <c r="AU37" s="74">
        <f t="shared" si="98"/>
        <v>0.8691637779</v>
      </c>
      <c r="AV37" s="74">
        <f t="shared" si="98"/>
        <v>0</v>
      </c>
      <c r="AW37" s="74">
        <f t="shared" si="98"/>
        <v>0</v>
      </c>
      <c r="AX37" s="74">
        <f t="shared" si="98"/>
        <v>0</v>
      </c>
      <c r="AY37" s="74">
        <f t="shared" si="98"/>
        <v>0</v>
      </c>
      <c r="AZ37" s="74">
        <f t="shared" si="98"/>
        <v>0</v>
      </c>
      <c r="BA37" s="74">
        <f t="shared" si="98"/>
        <v>0</v>
      </c>
      <c r="BB37" s="168"/>
      <c r="BC37" s="99"/>
      <c r="BD37" s="99"/>
      <c r="BV37" s="99"/>
      <c r="BW37" s="51" t="s">
        <v>119</v>
      </c>
      <c r="BX37" s="53">
        <f t="shared" ref="BX37:CA37" si="99">BX36/BX35</f>
        <v>0.6024096386</v>
      </c>
      <c r="BY37" s="53">
        <f t="shared" si="99"/>
        <v>0.9558823529</v>
      </c>
      <c r="BZ37" s="53">
        <f t="shared" si="99"/>
        <v>0.9632352941</v>
      </c>
      <c r="CA37" s="53">
        <f t="shared" si="99"/>
        <v>0.9547738693</v>
      </c>
      <c r="CB37" s="53"/>
      <c r="CC37" s="53">
        <v>0.95</v>
      </c>
      <c r="CD37" s="53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139"/>
      <c r="DK37" s="99"/>
      <c r="DL37" s="159"/>
      <c r="DM37" s="99"/>
      <c r="DN37" s="99"/>
      <c r="DO37" s="99"/>
      <c r="DP37" s="99"/>
      <c r="DQ37" s="99"/>
    </row>
    <row r="38" ht="12.0" customHeight="1">
      <c r="A38" s="101" t="s">
        <v>120</v>
      </c>
      <c r="B38" s="102" t="s">
        <v>121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>
        <f>N39+5</f>
        <v>2240</v>
      </c>
      <c r="Q38" s="103">
        <f t="shared" ref="Q38:Z38" si="100">P38+5</f>
        <v>2245</v>
      </c>
      <c r="R38" s="103">
        <f t="shared" si="100"/>
        <v>2250</v>
      </c>
      <c r="S38" s="103">
        <f t="shared" si="100"/>
        <v>2255</v>
      </c>
      <c r="T38" s="103">
        <f t="shared" si="100"/>
        <v>2260</v>
      </c>
      <c r="U38" s="103">
        <f t="shared" si="100"/>
        <v>2265</v>
      </c>
      <c r="V38" s="103">
        <f t="shared" si="100"/>
        <v>2270</v>
      </c>
      <c r="W38" s="103">
        <f t="shared" si="100"/>
        <v>2275</v>
      </c>
      <c r="X38" s="103">
        <f t="shared" si="100"/>
        <v>2280</v>
      </c>
      <c r="Y38" s="103">
        <f t="shared" si="100"/>
        <v>2285</v>
      </c>
      <c r="Z38" s="103">
        <f t="shared" si="100"/>
        <v>2290</v>
      </c>
      <c r="AA38" s="103">
        <v>2300.0</v>
      </c>
      <c r="AB38" s="103">
        <f t="shared" ref="AB38:AB41" si="103">AA38</f>
        <v>2300</v>
      </c>
      <c r="AC38" s="103">
        <f>AA38+100</f>
        <v>2400</v>
      </c>
      <c r="AD38" s="103">
        <f t="shared" ref="AD38:AM38" si="101">AC38+100</f>
        <v>2500</v>
      </c>
      <c r="AE38" s="103">
        <f t="shared" si="101"/>
        <v>2600</v>
      </c>
      <c r="AF38" s="103">
        <f t="shared" si="101"/>
        <v>2700</v>
      </c>
      <c r="AG38" s="103">
        <f t="shared" si="101"/>
        <v>2800</v>
      </c>
      <c r="AH38" s="103">
        <f t="shared" si="101"/>
        <v>2900</v>
      </c>
      <c r="AI38" s="103">
        <f t="shared" si="101"/>
        <v>3000</v>
      </c>
      <c r="AJ38" s="103">
        <f t="shared" si="101"/>
        <v>3100</v>
      </c>
      <c r="AK38" s="103">
        <f t="shared" si="101"/>
        <v>3200</v>
      </c>
      <c r="AL38" s="103">
        <f t="shared" si="101"/>
        <v>3300</v>
      </c>
      <c r="AM38" s="103">
        <f t="shared" si="101"/>
        <v>3400</v>
      </c>
      <c r="AN38" s="103">
        <v>3500.0</v>
      </c>
      <c r="AO38" s="103">
        <f t="shared" ref="AO38:AO41" si="104">AN38</f>
        <v>3500</v>
      </c>
      <c r="AP38" s="103">
        <f t="shared" ref="AP38:BA38" si="102">AO38+150</f>
        <v>3650</v>
      </c>
      <c r="AQ38" s="103">
        <f t="shared" si="102"/>
        <v>3800</v>
      </c>
      <c r="AR38" s="103">
        <f t="shared" si="102"/>
        <v>3950</v>
      </c>
      <c r="AS38" s="103">
        <f t="shared" si="102"/>
        <v>4100</v>
      </c>
      <c r="AT38" s="103">
        <f t="shared" si="102"/>
        <v>4250</v>
      </c>
      <c r="AU38" s="103">
        <f t="shared" si="102"/>
        <v>4400</v>
      </c>
      <c r="AV38" s="103">
        <f t="shared" si="102"/>
        <v>4550</v>
      </c>
      <c r="AW38" s="103">
        <f t="shared" si="102"/>
        <v>4700</v>
      </c>
      <c r="AX38" s="103">
        <f t="shared" si="102"/>
        <v>4850</v>
      </c>
      <c r="AY38" s="103">
        <f t="shared" si="102"/>
        <v>5000</v>
      </c>
      <c r="AZ38" s="103">
        <f t="shared" si="102"/>
        <v>5150</v>
      </c>
      <c r="BA38" s="103">
        <f t="shared" si="102"/>
        <v>5300</v>
      </c>
      <c r="BB38" s="103">
        <f>BA38</f>
        <v>5300</v>
      </c>
      <c r="BC38" s="104"/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4"/>
      <c r="BV38" s="104"/>
      <c r="BW38" s="104"/>
      <c r="BX38" s="104"/>
      <c r="BY38" s="104"/>
      <c r="BZ38" s="104"/>
      <c r="CA38" s="104"/>
      <c r="CB38" s="104"/>
      <c r="CC38" s="104"/>
      <c r="CD38" s="104"/>
      <c r="CE38" s="104"/>
      <c r="CF38" s="104"/>
      <c r="CG38" s="104"/>
      <c r="CH38" s="104"/>
      <c r="CI38" s="104"/>
      <c r="CJ38" s="104"/>
      <c r="CK38" s="104"/>
      <c r="CL38" s="104"/>
      <c r="CM38" s="104"/>
      <c r="CN38" s="104"/>
      <c r="CO38" s="104"/>
      <c r="CP38" s="104"/>
      <c r="CQ38" s="104"/>
      <c r="CR38" s="104"/>
      <c r="CS38" s="104"/>
      <c r="CT38" s="104"/>
      <c r="CU38" s="104"/>
      <c r="CV38" s="104"/>
      <c r="CW38" s="104"/>
      <c r="CX38" s="104"/>
      <c r="CY38" s="104"/>
      <c r="CZ38" s="104"/>
      <c r="DA38" s="104"/>
      <c r="DB38" s="104"/>
      <c r="DC38" s="104"/>
      <c r="DD38" s="104"/>
      <c r="DE38" s="104"/>
      <c r="DF38" s="104"/>
      <c r="DG38" s="104"/>
      <c r="DH38" s="104"/>
      <c r="DI38" s="105"/>
      <c r="DJ38" s="179"/>
      <c r="DK38" s="105"/>
      <c r="DL38" s="105"/>
      <c r="DM38" s="105"/>
      <c r="DN38" s="105"/>
      <c r="DO38" s="105"/>
      <c r="DP38" s="105"/>
      <c r="DQ38" s="107"/>
      <c r="DR38" s="107"/>
      <c r="DS38" s="107"/>
      <c r="DT38" s="107"/>
      <c r="DU38" s="107"/>
      <c r="DV38" s="107"/>
      <c r="DW38" s="107"/>
      <c r="DX38" s="107"/>
      <c r="DY38" s="107"/>
      <c r="DZ38" s="107"/>
    </row>
    <row r="39" ht="12.0" customHeight="1">
      <c r="A39" s="108"/>
      <c r="B39" s="109" t="s">
        <v>122</v>
      </c>
      <c r="C39" s="110">
        <v>2000.0</v>
      </c>
      <c r="D39" s="110">
        <v>2020.0</v>
      </c>
      <c r="E39" s="110">
        <v>2040.0</v>
      </c>
      <c r="F39" s="110">
        <v>2060.0</v>
      </c>
      <c r="G39" s="110">
        <v>2080.0</v>
      </c>
      <c r="H39" s="110">
        <v>2100.0</v>
      </c>
      <c r="I39" s="110">
        <v>2125.0</v>
      </c>
      <c r="J39" s="110">
        <v>2150.0</v>
      </c>
      <c r="K39" s="110">
        <v>2175.0</v>
      </c>
      <c r="L39" s="110">
        <v>2195.0</v>
      </c>
      <c r="M39" s="110">
        <v>2215.0</v>
      </c>
      <c r="N39" s="110">
        <v>2235.0</v>
      </c>
      <c r="O39" s="110">
        <f t="shared" ref="O39:O40" si="105">N39</f>
        <v>2235</v>
      </c>
      <c r="P39" s="110">
        <v>2285.0</v>
      </c>
      <c r="Q39" s="110">
        <v>2335.0</v>
      </c>
      <c r="R39" s="110">
        <v>2385.0</v>
      </c>
      <c r="S39" s="110">
        <v>2435.0</v>
      </c>
      <c r="T39" s="110">
        <v>2485.0</v>
      </c>
      <c r="U39" s="110">
        <v>2535.0</v>
      </c>
      <c r="V39" s="110">
        <v>2610.0</v>
      </c>
      <c r="W39" s="110">
        <v>2760.0</v>
      </c>
      <c r="X39" s="110">
        <v>2910.0</v>
      </c>
      <c r="Y39" s="110">
        <v>3060.0</v>
      </c>
      <c r="Z39" s="110">
        <v>3070.0</v>
      </c>
      <c r="AA39" s="110">
        <v>3215.0</v>
      </c>
      <c r="AB39" s="110">
        <f t="shared" si="103"/>
        <v>3215</v>
      </c>
      <c r="AC39" s="110">
        <f>AA39+13</f>
        <v>3228</v>
      </c>
      <c r="AD39" s="111">
        <v>4223.0</v>
      </c>
      <c r="AE39" s="111">
        <v>4223.0</v>
      </c>
      <c r="AF39" s="111">
        <v>4347.0</v>
      </c>
      <c r="AG39" s="111">
        <v>4347.0</v>
      </c>
      <c r="AH39" s="111">
        <v>4347.0</v>
      </c>
      <c r="AI39" s="111">
        <v>4542.0</v>
      </c>
      <c r="AJ39" s="111">
        <v>4669.0</v>
      </c>
      <c r="AK39" s="111">
        <v>4725.0</v>
      </c>
      <c r="AL39" s="111">
        <v>4725.0</v>
      </c>
      <c r="AM39" s="111">
        <v>4967.0</v>
      </c>
      <c r="AN39" s="111">
        <v>4845.0</v>
      </c>
      <c r="AO39" s="111">
        <f t="shared" si="104"/>
        <v>4845</v>
      </c>
      <c r="AP39" s="111">
        <v>4845.0</v>
      </c>
      <c r="AQ39" s="111">
        <v>4845.0</v>
      </c>
      <c r="AR39" s="111">
        <v>4845.0</v>
      </c>
      <c r="AS39" s="111">
        <v>4845.0</v>
      </c>
      <c r="AT39" s="111">
        <v>4845.0</v>
      </c>
      <c r="AU39" s="111">
        <v>4909.0</v>
      </c>
      <c r="AV39" s="111"/>
      <c r="AW39" s="111"/>
      <c r="AX39" s="111"/>
      <c r="AY39" s="111"/>
      <c r="AZ39" s="111"/>
      <c r="BA39" s="111"/>
      <c r="BB39" s="111">
        <f t="shared" ref="BB39:BB40" si="106">AU39</f>
        <v>4909</v>
      </c>
      <c r="BC39" s="104">
        <f>AM39-AL39</f>
        <v>242</v>
      </c>
      <c r="BD39" s="104"/>
      <c r="BE39" s="104"/>
      <c r="BF39" s="104"/>
      <c r="BG39" s="104"/>
      <c r="BH39" s="104"/>
      <c r="BI39" s="104"/>
      <c r="BJ39" s="104"/>
      <c r="BK39" s="104"/>
      <c r="BL39" s="104"/>
      <c r="BM39" s="104"/>
      <c r="BN39" s="104"/>
      <c r="BO39" s="104"/>
      <c r="BP39" s="104"/>
      <c r="BQ39" s="104"/>
      <c r="BR39" s="104"/>
      <c r="BS39" s="104"/>
      <c r="BT39" s="104"/>
      <c r="BU39" s="104"/>
      <c r="BV39" s="104"/>
      <c r="BW39" s="104"/>
      <c r="BX39" s="104"/>
      <c r="BY39" s="104"/>
      <c r="BZ39" s="104"/>
      <c r="CA39" s="104"/>
      <c r="CB39" s="104"/>
      <c r="CC39" s="104"/>
      <c r="CD39" s="104"/>
      <c r="CE39" s="104"/>
      <c r="CF39" s="104"/>
      <c r="CG39" s="104"/>
      <c r="CH39" s="104"/>
      <c r="CI39" s="104"/>
      <c r="CJ39" s="104"/>
      <c r="CK39" s="104"/>
      <c r="CL39" s="104"/>
      <c r="CM39" s="104"/>
      <c r="CN39" s="104"/>
      <c r="CO39" s="104"/>
      <c r="CP39" s="104"/>
      <c r="CQ39" s="104"/>
      <c r="CR39" s="104"/>
      <c r="CS39" s="104"/>
      <c r="CT39" s="104"/>
      <c r="CU39" s="104"/>
      <c r="CV39" s="104"/>
      <c r="CW39" s="104"/>
      <c r="CX39" s="104"/>
      <c r="CY39" s="104"/>
      <c r="CZ39" s="104"/>
      <c r="DA39" s="104"/>
      <c r="DB39" s="104"/>
      <c r="DC39" s="104"/>
      <c r="DD39" s="104"/>
      <c r="DE39" s="104"/>
      <c r="DF39" s="104"/>
      <c r="DG39" s="104"/>
      <c r="DH39" s="104"/>
      <c r="DI39" s="105"/>
      <c r="DJ39" s="180"/>
      <c r="DK39" s="105"/>
      <c r="DL39" s="105"/>
      <c r="DM39" s="105"/>
      <c r="DN39" s="105"/>
      <c r="DO39" s="105"/>
      <c r="DP39" s="105"/>
      <c r="DQ39" s="107"/>
      <c r="DR39" s="107"/>
      <c r="DS39" s="107"/>
      <c r="DT39" s="107"/>
      <c r="DU39" s="107"/>
      <c r="DV39" s="107"/>
      <c r="DW39" s="107"/>
      <c r="DX39" s="107"/>
      <c r="DY39" s="107"/>
      <c r="DZ39" s="107"/>
    </row>
    <row r="40" ht="12.0" customHeight="1">
      <c r="A40" s="108"/>
      <c r="B40" s="113" t="s">
        <v>123</v>
      </c>
      <c r="C40" s="114">
        <v>100.0</v>
      </c>
      <c r="D40" s="114">
        <v>105.0</v>
      </c>
      <c r="E40" s="114">
        <v>113.0</v>
      </c>
      <c r="F40" s="114">
        <v>121.0</v>
      </c>
      <c r="G40" s="114">
        <v>135.0</v>
      </c>
      <c r="H40" s="114">
        <v>149.0</v>
      </c>
      <c r="I40" s="114">
        <v>160.0</v>
      </c>
      <c r="J40" s="114">
        <v>164.0</v>
      </c>
      <c r="K40" s="114">
        <v>169.0</v>
      </c>
      <c r="L40" s="114">
        <v>171.0</v>
      </c>
      <c r="M40" s="114">
        <v>173.0</v>
      </c>
      <c r="N40" s="114">
        <v>176.0</v>
      </c>
      <c r="O40" s="181">
        <f t="shared" si="105"/>
        <v>176</v>
      </c>
      <c r="P40" s="114">
        <v>188.0</v>
      </c>
      <c r="Q40" s="114">
        <v>193.0</v>
      </c>
      <c r="R40" s="114">
        <v>211.0</v>
      </c>
      <c r="S40" s="114">
        <v>216.0</v>
      </c>
      <c r="T40" s="114">
        <v>220.0</v>
      </c>
      <c r="U40" s="114">
        <v>274.0</v>
      </c>
      <c r="V40" s="114">
        <v>276.0</v>
      </c>
      <c r="W40" s="114">
        <v>296.0</v>
      </c>
      <c r="X40" s="114">
        <v>341.0</v>
      </c>
      <c r="Y40" s="114">
        <v>454.0</v>
      </c>
      <c r="Z40" s="114">
        <v>495.0</v>
      </c>
      <c r="AA40" s="114">
        <v>502.0</v>
      </c>
      <c r="AB40" s="181">
        <f t="shared" si="103"/>
        <v>502</v>
      </c>
      <c r="AC40" s="114">
        <v>589.0</v>
      </c>
      <c r="AD40" s="117">
        <v>670.0</v>
      </c>
      <c r="AE40" s="117">
        <v>670.0</v>
      </c>
      <c r="AF40" s="117">
        <v>656.0</v>
      </c>
      <c r="AG40" s="117">
        <v>656.0</v>
      </c>
      <c r="AH40" s="117">
        <v>656.0</v>
      </c>
      <c r="AI40" s="117">
        <v>708.0</v>
      </c>
      <c r="AJ40" s="117">
        <v>740.0</v>
      </c>
      <c r="AK40" s="117">
        <v>768.0</v>
      </c>
      <c r="AL40" s="117">
        <f>AK40+378</f>
        <v>1146</v>
      </c>
      <c r="AM40" s="117">
        <v>1407.0</v>
      </c>
      <c r="AN40" s="117">
        <v>2097.0</v>
      </c>
      <c r="AO40" s="182">
        <f t="shared" si="104"/>
        <v>2097</v>
      </c>
      <c r="AP40" s="117">
        <v>2373.0</v>
      </c>
      <c r="AQ40" s="117">
        <v>2373.0</v>
      </c>
      <c r="AR40" s="117">
        <v>2373.0</v>
      </c>
      <c r="AS40" s="117">
        <f>AR40+18</f>
        <v>2391</v>
      </c>
      <c r="AT40" s="117">
        <v>2391.0</v>
      </c>
      <c r="AU40" s="117">
        <v>2671.0</v>
      </c>
      <c r="AV40" s="117"/>
      <c r="AW40" s="117"/>
      <c r="AX40" s="117"/>
      <c r="AY40" s="117"/>
      <c r="AZ40" s="117"/>
      <c r="BA40" s="117"/>
      <c r="BB40" s="182">
        <f t="shared" si="106"/>
        <v>2671</v>
      </c>
      <c r="BC40" s="104">
        <f>BB40-O40</f>
        <v>2495</v>
      </c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4"/>
      <c r="BV40" s="104"/>
      <c r="BW40" s="104"/>
      <c r="BX40" s="104"/>
      <c r="BY40" s="104"/>
      <c r="BZ40" s="104"/>
      <c r="CA40" s="104"/>
      <c r="CB40" s="104"/>
      <c r="CC40" s="104"/>
      <c r="CD40" s="104"/>
      <c r="CE40" s="104"/>
      <c r="CF40" s="104"/>
      <c r="CG40" s="104"/>
      <c r="CH40" s="104"/>
      <c r="CI40" s="104"/>
      <c r="CJ40" s="104"/>
      <c r="CK40" s="104"/>
      <c r="CL40" s="104"/>
      <c r="CM40" s="104"/>
      <c r="CN40" s="104"/>
      <c r="CO40" s="104"/>
      <c r="CP40" s="104"/>
      <c r="CQ40" s="104"/>
      <c r="CR40" s="104"/>
      <c r="CS40" s="104"/>
      <c r="CT40" s="104"/>
      <c r="CU40" s="104"/>
      <c r="CV40" s="104"/>
      <c r="CW40" s="104"/>
      <c r="CX40" s="104"/>
      <c r="CY40" s="104"/>
      <c r="CZ40" s="104"/>
      <c r="DA40" s="104"/>
      <c r="DB40" s="104"/>
      <c r="DC40" s="104"/>
      <c r="DD40" s="104"/>
      <c r="DE40" s="104"/>
      <c r="DF40" s="104"/>
      <c r="DG40" s="104"/>
      <c r="DH40" s="104"/>
      <c r="DI40" s="105"/>
      <c r="DJ40" s="180"/>
      <c r="DK40" s="105"/>
      <c r="DL40" s="105"/>
      <c r="DM40" s="105"/>
      <c r="DN40" s="105"/>
      <c r="DO40" s="105"/>
      <c r="DP40" s="105"/>
      <c r="DQ40" s="107"/>
      <c r="DR40" s="107"/>
      <c r="DS40" s="107"/>
      <c r="DT40" s="107"/>
      <c r="DU40" s="107"/>
      <c r="DV40" s="107"/>
      <c r="DW40" s="107"/>
      <c r="DX40" s="107"/>
      <c r="DY40" s="107"/>
      <c r="DZ40" s="107"/>
    </row>
    <row r="41" ht="12.0" customHeight="1">
      <c r="A41" s="108"/>
      <c r="B41" s="102" t="s">
        <v>124</v>
      </c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>
        <v>200.0</v>
      </c>
      <c r="Q41" s="103">
        <f t="shared" ref="Q41:V41" si="107">P41+10</f>
        <v>210</v>
      </c>
      <c r="R41" s="103">
        <f t="shared" si="107"/>
        <v>220</v>
      </c>
      <c r="S41" s="103">
        <f t="shared" si="107"/>
        <v>230</v>
      </c>
      <c r="T41" s="103">
        <f t="shared" si="107"/>
        <v>240</v>
      </c>
      <c r="U41" s="103">
        <f t="shared" si="107"/>
        <v>250</v>
      </c>
      <c r="V41" s="103">
        <f t="shared" si="107"/>
        <v>260</v>
      </c>
      <c r="W41" s="103">
        <f t="shared" ref="W41:Z41" si="108">V41+15</f>
        <v>275</v>
      </c>
      <c r="X41" s="103">
        <f t="shared" si="108"/>
        <v>290</v>
      </c>
      <c r="Y41" s="103">
        <f t="shared" si="108"/>
        <v>305</v>
      </c>
      <c r="Z41" s="103">
        <f t="shared" si="108"/>
        <v>320</v>
      </c>
      <c r="AA41" s="103">
        <v>345.0</v>
      </c>
      <c r="AB41" s="103">
        <f t="shared" si="103"/>
        <v>345</v>
      </c>
      <c r="AC41" s="119">
        <f>AA41+88</f>
        <v>433</v>
      </c>
      <c r="AD41" s="119">
        <f t="shared" ref="AD41:AM41" si="109">AC41+88</f>
        <v>521</v>
      </c>
      <c r="AE41" s="119">
        <f t="shared" si="109"/>
        <v>609</v>
      </c>
      <c r="AF41" s="119">
        <f t="shared" si="109"/>
        <v>697</v>
      </c>
      <c r="AG41" s="119">
        <f t="shared" si="109"/>
        <v>785</v>
      </c>
      <c r="AH41" s="119">
        <f t="shared" si="109"/>
        <v>873</v>
      </c>
      <c r="AI41" s="119">
        <f t="shared" si="109"/>
        <v>961</v>
      </c>
      <c r="AJ41" s="119">
        <f t="shared" si="109"/>
        <v>1049</v>
      </c>
      <c r="AK41" s="119">
        <f t="shared" si="109"/>
        <v>1137</v>
      </c>
      <c r="AL41" s="119">
        <f t="shared" si="109"/>
        <v>1225</v>
      </c>
      <c r="AM41" s="119">
        <f t="shared" si="109"/>
        <v>1313</v>
      </c>
      <c r="AN41" s="119">
        <v>1400.0</v>
      </c>
      <c r="AO41" s="119">
        <f t="shared" si="104"/>
        <v>1400</v>
      </c>
      <c r="AP41" s="119">
        <f t="shared" ref="AP41:BA41" si="110">AO41+150</f>
        <v>1550</v>
      </c>
      <c r="AQ41" s="119">
        <f t="shared" si="110"/>
        <v>1700</v>
      </c>
      <c r="AR41" s="119">
        <f t="shared" si="110"/>
        <v>1850</v>
      </c>
      <c r="AS41" s="119">
        <f t="shared" si="110"/>
        <v>2000</v>
      </c>
      <c r="AT41" s="119">
        <f t="shared" si="110"/>
        <v>2150</v>
      </c>
      <c r="AU41" s="119">
        <f t="shared" si="110"/>
        <v>2300</v>
      </c>
      <c r="AV41" s="119">
        <f t="shared" si="110"/>
        <v>2450</v>
      </c>
      <c r="AW41" s="119">
        <f t="shared" si="110"/>
        <v>2600</v>
      </c>
      <c r="AX41" s="119">
        <f t="shared" si="110"/>
        <v>2750</v>
      </c>
      <c r="AY41" s="119">
        <f t="shared" si="110"/>
        <v>2900</v>
      </c>
      <c r="AZ41" s="119">
        <f t="shared" si="110"/>
        <v>3050</v>
      </c>
      <c r="BA41" s="119">
        <f t="shared" si="110"/>
        <v>3200</v>
      </c>
      <c r="BB41" s="119">
        <f>BA41</f>
        <v>3200</v>
      </c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4"/>
      <c r="CM41" s="104"/>
      <c r="CN41" s="104"/>
      <c r="CO41" s="104"/>
      <c r="CP41" s="104"/>
      <c r="CQ41" s="104"/>
      <c r="CR41" s="104"/>
      <c r="CS41" s="104"/>
      <c r="CT41" s="104"/>
      <c r="CU41" s="104"/>
      <c r="CV41" s="104"/>
      <c r="CW41" s="104"/>
      <c r="CX41" s="104"/>
      <c r="CY41" s="104"/>
      <c r="CZ41" s="104"/>
      <c r="DA41" s="104"/>
      <c r="DB41" s="104"/>
      <c r="DC41" s="104"/>
      <c r="DD41" s="104"/>
      <c r="DE41" s="104"/>
      <c r="DF41" s="104"/>
      <c r="DG41" s="104"/>
      <c r="DH41" s="104"/>
      <c r="DI41" s="105"/>
      <c r="DJ41" s="180"/>
      <c r="DK41" s="105"/>
      <c r="DL41" s="105"/>
      <c r="DM41" s="105"/>
      <c r="DN41" s="105"/>
      <c r="DO41" s="105"/>
      <c r="DP41" s="105"/>
      <c r="DQ41" s="107"/>
      <c r="DR41" s="107"/>
      <c r="DS41" s="107"/>
      <c r="DT41" s="107"/>
      <c r="DU41" s="107"/>
      <c r="DV41" s="107"/>
      <c r="DW41" s="107"/>
      <c r="DX41" s="107"/>
      <c r="DY41" s="107"/>
      <c r="DZ41" s="107"/>
    </row>
    <row r="42" ht="12.0" customHeight="1">
      <c r="A42" s="108"/>
      <c r="B42" s="120" t="s">
        <v>125</v>
      </c>
      <c r="C42" s="121">
        <f t="shared" ref="C42:AO42" si="111">C40/C39</f>
        <v>0.05</v>
      </c>
      <c r="D42" s="121">
        <f t="shared" si="111"/>
        <v>0.05198019802</v>
      </c>
      <c r="E42" s="121">
        <f t="shared" si="111"/>
        <v>0.05539215686</v>
      </c>
      <c r="F42" s="121">
        <f t="shared" si="111"/>
        <v>0.05873786408</v>
      </c>
      <c r="G42" s="121">
        <f t="shared" si="111"/>
        <v>0.06490384615</v>
      </c>
      <c r="H42" s="121">
        <f t="shared" si="111"/>
        <v>0.07095238095</v>
      </c>
      <c r="I42" s="121">
        <f t="shared" si="111"/>
        <v>0.07529411765</v>
      </c>
      <c r="J42" s="121">
        <f t="shared" si="111"/>
        <v>0.07627906977</v>
      </c>
      <c r="K42" s="121">
        <f t="shared" si="111"/>
        <v>0.07770114943</v>
      </c>
      <c r="L42" s="121">
        <f t="shared" si="111"/>
        <v>0.07790432802</v>
      </c>
      <c r="M42" s="121">
        <f t="shared" si="111"/>
        <v>0.07810383747</v>
      </c>
      <c r="N42" s="121">
        <f t="shared" si="111"/>
        <v>0.07874720358</v>
      </c>
      <c r="O42" s="121">
        <f t="shared" si="111"/>
        <v>0.07874720358</v>
      </c>
      <c r="P42" s="121">
        <f t="shared" si="111"/>
        <v>0.08227571116</v>
      </c>
      <c r="Q42" s="121">
        <f t="shared" si="111"/>
        <v>0.08265524625</v>
      </c>
      <c r="R42" s="121">
        <f t="shared" si="111"/>
        <v>0.08846960168</v>
      </c>
      <c r="S42" s="121">
        <f t="shared" si="111"/>
        <v>0.0887063655</v>
      </c>
      <c r="T42" s="121">
        <f t="shared" si="111"/>
        <v>0.08853118712</v>
      </c>
      <c r="U42" s="121">
        <f t="shared" si="111"/>
        <v>0.108086785</v>
      </c>
      <c r="V42" s="121">
        <f t="shared" si="111"/>
        <v>0.1057471264</v>
      </c>
      <c r="W42" s="121">
        <f t="shared" si="111"/>
        <v>0.1072463768</v>
      </c>
      <c r="X42" s="121">
        <f t="shared" si="111"/>
        <v>0.1171821306</v>
      </c>
      <c r="Y42" s="121">
        <f t="shared" si="111"/>
        <v>0.1483660131</v>
      </c>
      <c r="Z42" s="121">
        <f t="shared" si="111"/>
        <v>0.161237785</v>
      </c>
      <c r="AA42" s="121">
        <f t="shared" si="111"/>
        <v>0.1561430793</v>
      </c>
      <c r="AB42" s="121">
        <f t="shared" si="111"/>
        <v>0.1561430793</v>
      </c>
      <c r="AC42" s="121">
        <f t="shared" si="111"/>
        <v>0.1824659232</v>
      </c>
      <c r="AD42" s="121">
        <f t="shared" si="111"/>
        <v>0.1586549846</v>
      </c>
      <c r="AE42" s="121">
        <f t="shared" si="111"/>
        <v>0.1586549846</v>
      </c>
      <c r="AF42" s="121">
        <f t="shared" si="111"/>
        <v>0.1509086726</v>
      </c>
      <c r="AG42" s="121">
        <f t="shared" si="111"/>
        <v>0.1509086726</v>
      </c>
      <c r="AH42" s="121">
        <f t="shared" si="111"/>
        <v>0.1509086726</v>
      </c>
      <c r="AI42" s="121">
        <f t="shared" si="111"/>
        <v>0.1558784676</v>
      </c>
      <c r="AJ42" s="121">
        <f t="shared" si="111"/>
        <v>0.1584921825</v>
      </c>
      <c r="AK42" s="121">
        <f t="shared" si="111"/>
        <v>0.1625396825</v>
      </c>
      <c r="AL42" s="121">
        <f t="shared" si="111"/>
        <v>0.2425396825</v>
      </c>
      <c r="AM42" s="121">
        <f t="shared" si="111"/>
        <v>0.2832695792</v>
      </c>
      <c r="AN42" s="121">
        <f t="shared" si="111"/>
        <v>0.4328173375</v>
      </c>
      <c r="AO42" s="121">
        <f t="shared" si="111"/>
        <v>0.4328173375</v>
      </c>
      <c r="AP42" s="121">
        <f t="shared" ref="AP42:BB42" si="112">IFERROR(AP40/AP39,0)</f>
        <v>0.4897832817</v>
      </c>
      <c r="AQ42" s="121">
        <f t="shared" si="112"/>
        <v>0.4897832817</v>
      </c>
      <c r="AR42" s="121">
        <f t="shared" si="112"/>
        <v>0.4897832817</v>
      </c>
      <c r="AS42" s="121">
        <f t="shared" si="112"/>
        <v>0.493498452</v>
      </c>
      <c r="AT42" s="121">
        <f t="shared" si="112"/>
        <v>0.493498452</v>
      </c>
      <c r="AU42" s="121">
        <f t="shared" si="112"/>
        <v>0.5441026686</v>
      </c>
      <c r="AV42" s="121">
        <f t="shared" si="112"/>
        <v>0</v>
      </c>
      <c r="AW42" s="121">
        <f t="shared" si="112"/>
        <v>0</v>
      </c>
      <c r="AX42" s="121">
        <f t="shared" si="112"/>
        <v>0</v>
      </c>
      <c r="AY42" s="121">
        <f t="shared" si="112"/>
        <v>0</v>
      </c>
      <c r="AZ42" s="121">
        <f t="shared" si="112"/>
        <v>0</v>
      </c>
      <c r="BA42" s="121">
        <f t="shared" si="112"/>
        <v>0</v>
      </c>
      <c r="BB42" s="121">
        <f t="shared" si="112"/>
        <v>0.5441026686</v>
      </c>
      <c r="BC42" s="122"/>
      <c r="BD42" s="122"/>
      <c r="BE42" s="107">
        <f>123703000/10^6</f>
        <v>123.703</v>
      </c>
      <c r="BF42" s="122"/>
      <c r="BG42" s="122"/>
      <c r="BH42" s="122"/>
      <c r="BI42" s="122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22"/>
      <c r="BW42" s="122"/>
      <c r="BX42" s="122"/>
      <c r="BY42" s="122"/>
      <c r="BZ42" s="122"/>
      <c r="CA42" s="122"/>
      <c r="CB42" s="122"/>
      <c r="CC42" s="122"/>
      <c r="CD42" s="122"/>
      <c r="CE42" s="122"/>
      <c r="CF42" s="122"/>
      <c r="CG42" s="122"/>
      <c r="CH42" s="122"/>
      <c r="CI42" s="122"/>
      <c r="CJ42" s="122"/>
      <c r="CK42" s="122"/>
      <c r="CL42" s="122"/>
      <c r="CM42" s="122"/>
      <c r="CN42" s="122"/>
      <c r="CO42" s="122"/>
      <c r="CP42" s="122"/>
      <c r="CQ42" s="122"/>
      <c r="CR42" s="122"/>
      <c r="CS42" s="122"/>
      <c r="CT42" s="122"/>
      <c r="CU42" s="122"/>
      <c r="CV42" s="122"/>
      <c r="CW42" s="122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06"/>
      <c r="DJ42" s="179"/>
      <c r="DK42" s="106"/>
      <c r="DL42" s="106"/>
      <c r="DM42" s="106"/>
      <c r="DN42" s="106"/>
      <c r="DO42" s="105"/>
      <c r="DP42" s="105"/>
      <c r="DQ42" s="107"/>
      <c r="DR42" s="107"/>
      <c r="DS42" s="107"/>
      <c r="DT42" s="107"/>
      <c r="DU42" s="107"/>
      <c r="DV42" s="107"/>
      <c r="DW42" s="107"/>
      <c r="DX42" s="107"/>
      <c r="DY42" s="107"/>
      <c r="DZ42" s="107"/>
    </row>
    <row r="43" ht="12.0" customHeight="1">
      <c r="A43" s="123"/>
      <c r="B43" s="124" t="s">
        <v>126</v>
      </c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6">
        <f t="shared" ref="P43:AN43" si="113">P41/P38</f>
        <v>0.08928571429</v>
      </c>
      <c r="Q43" s="126">
        <f t="shared" si="113"/>
        <v>0.09354120267</v>
      </c>
      <c r="R43" s="126">
        <f t="shared" si="113"/>
        <v>0.09777777778</v>
      </c>
      <c r="S43" s="126">
        <f t="shared" si="113"/>
        <v>0.1019955654</v>
      </c>
      <c r="T43" s="126">
        <f t="shared" si="113"/>
        <v>0.1061946903</v>
      </c>
      <c r="U43" s="126">
        <f t="shared" si="113"/>
        <v>0.1103752759</v>
      </c>
      <c r="V43" s="126">
        <f t="shared" si="113"/>
        <v>0.1145374449</v>
      </c>
      <c r="W43" s="126">
        <f t="shared" si="113"/>
        <v>0.1208791209</v>
      </c>
      <c r="X43" s="126">
        <f t="shared" si="113"/>
        <v>0.1271929825</v>
      </c>
      <c r="Y43" s="126">
        <f t="shared" si="113"/>
        <v>0.1334792123</v>
      </c>
      <c r="Z43" s="126">
        <f t="shared" si="113"/>
        <v>0.1397379913</v>
      </c>
      <c r="AA43" s="126">
        <f t="shared" si="113"/>
        <v>0.15</v>
      </c>
      <c r="AB43" s="126">
        <f t="shared" si="113"/>
        <v>0.15</v>
      </c>
      <c r="AC43" s="126">
        <f t="shared" si="113"/>
        <v>0.1804166667</v>
      </c>
      <c r="AD43" s="126">
        <f t="shared" si="113"/>
        <v>0.2084</v>
      </c>
      <c r="AE43" s="126">
        <f t="shared" si="113"/>
        <v>0.2342307692</v>
      </c>
      <c r="AF43" s="126">
        <f t="shared" si="113"/>
        <v>0.2581481481</v>
      </c>
      <c r="AG43" s="126">
        <f t="shared" si="113"/>
        <v>0.2803571429</v>
      </c>
      <c r="AH43" s="126">
        <f t="shared" si="113"/>
        <v>0.3010344828</v>
      </c>
      <c r="AI43" s="126">
        <f t="shared" si="113"/>
        <v>0.3203333333</v>
      </c>
      <c r="AJ43" s="126">
        <f t="shared" si="113"/>
        <v>0.3383870968</v>
      </c>
      <c r="AK43" s="126">
        <f t="shared" si="113"/>
        <v>0.3553125</v>
      </c>
      <c r="AL43" s="126">
        <f t="shared" si="113"/>
        <v>0.3712121212</v>
      </c>
      <c r="AM43" s="126">
        <f t="shared" si="113"/>
        <v>0.3861764706</v>
      </c>
      <c r="AN43" s="126">
        <f t="shared" si="113"/>
        <v>0.4</v>
      </c>
      <c r="AO43" s="126">
        <f>AN43</f>
        <v>0.4</v>
      </c>
      <c r="AP43" s="126">
        <f t="shared" ref="AP43:BA43" si="114">AP41/AP38</f>
        <v>0.4246575342</v>
      </c>
      <c r="AQ43" s="126">
        <f t="shared" si="114"/>
        <v>0.4473684211</v>
      </c>
      <c r="AR43" s="126">
        <f t="shared" si="114"/>
        <v>0.4683544304</v>
      </c>
      <c r="AS43" s="126">
        <f t="shared" si="114"/>
        <v>0.487804878</v>
      </c>
      <c r="AT43" s="126">
        <f t="shared" si="114"/>
        <v>0.5058823529</v>
      </c>
      <c r="AU43" s="126">
        <f t="shared" si="114"/>
        <v>0.5227272727</v>
      </c>
      <c r="AV43" s="126">
        <f t="shared" si="114"/>
        <v>0.5384615385</v>
      </c>
      <c r="AW43" s="126">
        <f t="shared" si="114"/>
        <v>0.5531914894</v>
      </c>
      <c r="AX43" s="126">
        <f t="shared" si="114"/>
        <v>0.5670103093</v>
      </c>
      <c r="AY43" s="126">
        <f t="shared" si="114"/>
        <v>0.58</v>
      </c>
      <c r="AZ43" s="126">
        <f t="shared" si="114"/>
        <v>0.5922330097</v>
      </c>
      <c r="BA43" s="126">
        <f t="shared" si="114"/>
        <v>0.6037735849</v>
      </c>
      <c r="BB43" s="126">
        <v>0.6</v>
      </c>
      <c r="BC43" s="104"/>
      <c r="BD43" s="104"/>
      <c r="BE43" s="104"/>
      <c r="BF43" s="104"/>
      <c r="BG43" s="104"/>
      <c r="BH43" s="104"/>
      <c r="BI43" s="104"/>
      <c r="BJ43" s="104"/>
      <c r="BK43" s="104"/>
      <c r="BL43" s="104"/>
      <c r="BM43" s="104"/>
      <c r="BN43" s="104"/>
      <c r="BO43" s="104"/>
      <c r="BP43" s="104"/>
      <c r="BQ43" s="104"/>
      <c r="BR43" s="104"/>
      <c r="BS43" s="104"/>
      <c r="BT43" s="104"/>
      <c r="BU43" s="104"/>
      <c r="BV43" s="104"/>
      <c r="BW43" s="104"/>
      <c r="BX43" s="104"/>
      <c r="BY43" s="104"/>
      <c r="BZ43" s="104"/>
      <c r="CA43" s="104"/>
      <c r="CB43" s="104"/>
      <c r="CC43" s="104"/>
      <c r="CD43" s="104"/>
      <c r="CE43" s="104"/>
      <c r="CF43" s="104"/>
      <c r="CG43" s="104"/>
      <c r="CH43" s="104"/>
      <c r="CI43" s="104"/>
      <c r="CJ43" s="104"/>
      <c r="CK43" s="104"/>
      <c r="CL43" s="104"/>
      <c r="CM43" s="104"/>
      <c r="CN43" s="104"/>
      <c r="CO43" s="104"/>
      <c r="CP43" s="104"/>
      <c r="CQ43" s="104"/>
      <c r="CR43" s="104"/>
      <c r="CS43" s="104"/>
      <c r="CT43" s="104"/>
      <c r="CU43" s="104"/>
      <c r="CV43" s="104"/>
      <c r="CW43" s="104"/>
      <c r="CX43" s="104"/>
      <c r="CY43" s="104"/>
      <c r="CZ43" s="104"/>
      <c r="DA43" s="104"/>
      <c r="DB43" s="104"/>
      <c r="DC43" s="104"/>
      <c r="DD43" s="104"/>
      <c r="DE43" s="104"/>
      <c r="DF43" s="104"/>
      <c r="DG43" s="104"/>
      <c r="DH43" s="104"/>
      <c r="DI43" s="105"/>
      <c r="DJ43" s="180"/>
      <c r="DK43" s="105"/>
      <c r="DL43" s="105"/>
      <c r="DM43" s="105"/>
      <c r="DN43" s="105"/>
      <c r="DO43" s="105"/>
      <c r="DP43" s="105"/>
      <c r="DQ43" s="107"/>
      <c r="DR43" s="107"/>
      <c r="DS43" s="107"/>
      <c r="DT43" s="107"/>
      <c r="DU43" s="107"/>
      <c r="DV43" s="107"/>
      <c r="DW43" s="107"/>
      <c r="DX43" s="107"/>
      <c r="DY43" s="107"/>
      <c r="DZ43" s="107"/>
    </row>
    <row r="44" ht="12.0" customHeight="1">
      <c r="A44" s="127" t="s">
        <v>127</v>
      </c>
      <c r="B44" s="113" t="s">
        <v>128</v>
      </c>
      <c r="C44" s="128">
        <v>64.0</v>
      </c>
      <c r="D44" s="128">
        <v>65.0</v>
      </c>
      <c r="E44" s="128">
        <v>67.0</v>
      </c>
      <c r="F44" s="128">
        <v>69.0</v>
      </c>
      <c r="G44" s="128">
        <v>73.0</v>
      </c>
      <c r="H44" s="128">
        <v>74.0</v>
      </c>
      <c r="I44" s="128">
        <v>74.0</v>
      </c>
      <c r="J44" s="128">
        <v>76.0</v>
      </c>
      <c r="K44" s="128">
        <v>78.0</v>
      </c>
      <c r="L44" s="128">
        <v>80.0</v>
      </c>
      <c r="M44" s="128">
        <v>81.0</v>
      </c>
      <c r="N44" s="128">
        <v>83.0</v>
      </c>
      <c r="O44" s="181">
        <f t="shared" ref="O44:O45" si="117">N44</f>
        <v>83</v>
      </c>
      <c r="P44" s="128">
        <v>85.0</v>
      </c>
      <c r="Q44" s="128">
        <v>86.0</v>
      </c>
      <c r="R44" s="128">
        <v>91.0</v>
      </c>
      <c r="S44" s="128">
        <v>91.0</v>
      </c>
      <c r="T44" s="128">
        <v>91.0</v>
      </c>
      <c r="U44" s="128">
        <v>91.0</v>
      </c>
      <c r="V44" s="128">
        <v>93.0</v>
      </c>
      <c r="W44" s="128">
        <v>98.0</v>
      </c>
      <c r="X44" s="128">
        <v>108.0</v>
      </c>
      <c r="Y44" s="128">
        <v>116.0</v>
      </c>
      <c r="Z44" s="128">
        <v>125.0</v>
      </c>
      <c r="AA44" s="128">
        <v>136.0</v>
      </c>
      <c r="AB44" s="181">
        <f t="shared" ref="AB44:AB46" si="120">AA44</f>
        <v>136</v>
      </c>
      <c r="AC44" s="129">
        <f>AA44+8</f>
        <v>144</v>
      </c>
      <c r="AD44" s="129">
        <f t="shared" ref="AD44:AN44" si="115">AC44+5</f>
        <v>149</v>
      </c>
      <c r="AE44" s="129">
        <f t="shared" si="115"/>
        <v>154</v>
      </c>
      <c r="AF44" s="129">
        <f t="shared" si="115"/>
        <v>159</v>
      </c>
      <c r="AG44" s="129">
        <f t="shared" si="115"/>
        <v>164</v>
      </c>
      <c r="AH44" s="129">
        <f t="shared" si="115"/>
        <v>169</v>
      </c>
      <c r="AI44" s="129">
        <f t="shared" si="115"/>
        <v>174</v>
      </c>
      <c r="AJ44" s="129">
        <f t="shared" si="115"/>
        <v>179</v>
      </c>
      <c r="AK44" s="129">
        <f t="shared" si="115"/>
        <v>184</v>
      </c>
      <c r="AL44" s="129">
        <f t="shared" si="115"/>
        <v>189</v>
      </c>
      <c r="AM44" s="129">
        <f t="shared" si="115"/>
        <v>194</v>
      </c>
      <c r="AN44" s="129">
        <f t="shared" si="115"/>
        <v>199</v>
      </c>
      <c r="AO44" s="182">
        <f>AL44</f>
        <v>189</v>
      </c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82"/>
      <c r="BC44" s="131"/>
      <c r="BD44" s="131"/>
      <c r="BE44" s="131"/>
      <c r="BF44" s="131"/>
      <c r="BG44" s="131"/>
      <c r="BH44" s="131"/>
      <c r="BI44" s="131"/>
      <c r="BJ44" s="131"/>
      <c r="BK44" s="131"/>
      <c r="BL44" s="131"/>
      <c r="BM44" s="131"/>
      <c r="BN44" s="131"/>
      <c r="BO44" s="131"/>
      <c r="BP44" s="131"/>
      <c r="BQ44" s="131"/>
      <c r="BR44" s="131"/>
      <c r="BS44" s="131"/>
      <c r="BT44" s="131"/>
      <c r="BU44" s="131"/>
      <c r="BV44" s="131"/>
      <c r="BW44" s="131"/>
      <c r="BX44" s="131"/>
      <c r="BY44" s="131"/>
      <c r="BZ44" s="131"/>
      <c r="CA44" s="131"/>
      <c r="CB44" s="131"/>
      <c r="CC44" s="131"/>
      <c r="CD44" s="131"/>
      <c r="CE44" s="131"/>
      <c r="CF44" s="131"/>
      <c r="CG44" s="131"/>
      <c r="CH44" s="131"/>
      <c r="CI44" s="131"/>
      <c r="CJ44" s="131"/>
      <c r="CK44" s="131"/>
      <c r="CL44" s="131"/>
      <c r="CM44" s="131"/>
      <c r="CN44" s="131"/>
      <c r="CO44" s="131"/>
      <c r="CP44" s="131"/>
      <c r="CQ44" s="131"/>
      <c r="CR44" s="131"/>
      <c r="CS44" s="131"/>
      <c r="CT44" s="131"/>
      <c r="CU44" s="131"/>
      <c r="CV44" s="131"/>
      <c r="CW44" s="131"/>
      <c r="CX44" s="131"/>
      <c r="CY44" s="131"/>
      <c r="CZ44" s="131"/>
      <c r="DA44" s="131"/>
      <c r="DB44" s="131"/>
      <c r="DC44" s="131"/>
      <c r="DD44" s="131"/>
      <c r="DE44" s="131"/>
      <c r="DF44" s="131"/>
      <c r="DG44" s="131"/>
      <c r="DH44" s="131"/>
      <c r="DI44" s="132"/>
      <c r="DJ44" s="180"/>
      <c r="DK44" s="105"/>
      <c r="DL44" s="105"/>
      <c r="DM44" s="105"/>
      <c r="DN44" s="105"/>
      <c r="DO44" s="105"/>
      <c r="DP44" s="105"/>
      <c r="DQ44" s="107"/>
      <c r="DR44" s="107"/>
      <c r="DS44" s="107"/>
      <c r="DT44" s="107"/>
      <c r="DU44" s="107"/>
      <c r="DV44" s="107"/>
      <c r="DW44" s="107"/>
      <c r="DX44" s="107"/>
      <c r="DY44" s="107"/>
      <c r="DZ44" s="107"/>
    </row>
    <row r="45" ht="12.0" customHeight="1">
      <c r="A45" s="108"/>
      <c r="B45" s="109" t="s">
        <v>129</v>
      </c>
      <c r="C45" s="110">
        <f t="shared" ref="C45:M45" si="116">C47*C44</f>
        <v>57.6</v>
      </c>
      <c r="D45" s="110">
        <f t="shared" si="116"/>
        <v>57.2</v>
      </c>
      <c r="E45" s="110">
        <f t="shared" si="116"/>
        <v>58.29</v>
      </c>
      <c r="F45" s="110">
        <f t="shared" si="116"/>
        <v>57.96</v>
      </c>
      <c r="G45" s="110">
        <f t="shared" si="116"/>
        <v>58.4</v>
      </c>
      <c r="H45" s="110">
        <f t="shared" si="116"/>
        <v>56.24</v>
      </c>
      <c r="I45" s="110">
        <f t="shared" si="116"/>
        <v>51.06</v>
      </c>
      <c r="J45" s="110">
        <f t="shared" si="116"/>
        <v>49.4</v>
      </c>
      <c r="K45" s="110">
        <f t="shared" si="116"/>
        <v>49.92</v>
      </c>
      <c r="L45" s="110">
        <f t="shared" si="116"/>
        <v>50.4</v>
      </c>
      <c r="M45" s="110">
        <f t="shared" si="116"/>
        <v>49.41</v>
      </c>
      <c r="N45" s="110">
        <v>50.0</v>
      </c>
      <c r="O45" s="110">
        <f t="shared" si="117"/>
        <v>50</v>
      </c>
      <c r="P45" s="110">
        <f>P44-N44+N45+4</f>
        <v>56</v>
      </c>
      <c r="Q45" s="110">
        <f t="shared" ref="Q45:T45" si="118">Q44-P44+P45+4</f>
        <v>61</v>
      </c>
      <c r="R45" s="110">
        <f t="shared" si="118"/>
        <v>70</v>
      </c>
      <c r="S45" s="110">
        <f t="shared" si="118"/>
        <v>74</v>
      </c>
      <c r="T45" s="110">
        <f t="shared" si="118"/>
        <v>78</v>
      </c>
      <c r="U45" s="110">
        <f>U44-T44+T45-6</f>
        <v>72</v>
      </c>
      <c r="V45" s="110">
        <f>V44-U44+U45-7</f>
        <v>67</v>
      </c>
      <c r="W45" s="110">
        <f t="shared" ref="W45:Z45" si="119">W44-V44+V45+7</f>
        <v>79</v>
      </c>
      <c r="X45" s="110">
        <f t="shared" si="119"/>
        <v>96</v>
      </c>
      <c r="Y45" s="110">
        <f t="shared" si="119"/>
        <v>111</v>
      </c>
      <c r="Z45" s="110">
        <f t="shared" si="119"/>
        <v>127</v>
      </c>
      <c r="AA45" s="110">
        <v>131.0</v>
      </c>
      <c r="AB45" s="110">
        <f t="shared" si="120"/>
        <v>131</v>
      </c>
      <c r="AC45" s="111">
        <v>139.0</v>
      </c>
      <c r="AD45" s="111">
        <v>146.0</v>
      </c>
      <c r="AE45" s="111">
        <v>150.0</v>
      </c>
      <c r="AF45" s="111">
        <f>AE45+13</f>
        <v>163</v>
      </c>
      <c r="AG45" s="111">
        <v>173.0</v>
      </c>
      <c r="AH45" s="111">
        <v>185.0</v>
      </c>
      <c r="AI45" s="111">
        <f>185+13</f>
        <v>198</v>
      </c>
      <c r="AJ45" s="111">
        <f>198+10</f>
        <v>208</v>
      </c>
      <c r="AK45" s="111">
        <f>208+5</f>
        <v>213</v>
      </c>
      <c r="AL45" s="111">
        <f>AK45+3</f>
        <v>216</v>
      </c>
      <c r="AM45" s="111">
        <f>216+2</f>
        <v>218</v>
      </c>
      <c r="AN45" s="111">
        <f>AM45+3</f>
        <v>221</v>
      </c>
      <c r="AO45" s="111">
        <f t="shared" ref="AO45:AO46" si="124">AN45</f>
        <v>221</v>
      </c>
      <c r="AP45" s="111">
        <f>AN45+5</f>
        <v>226</v>
      </c>
      <c r="AQ45" s="111">
        <v>227.0</v>
      </c>
      <c r="AR45" s="111">
        <f>AQ45+4</f>
        <v>231</v>
      </c>
      <c r="AS45" s="111">
        <f>AR45+2</f>
        <v>233</v>
      </c>
      <c r="AT45" s="111">
        <f>AS45+5</f>
        <v>238</v>
      </c>
      <c r="AU45" s="111">
        <f>AT45+32</f>
        <v>270</v>
      </c>
      <c r="AV45" s="111"/>
      <c r="AW45" s="111"/>
      <c r="AX45" s="111"/>
      <c r="AY45" s="111"/>
      <c r="AZ45" s="111"/>
      <c r="BA45" s="111"/>
      <c r="BB45" s="111">
        <f>AU45</f>
        <v>270</v>
      </c>
      <c r="BC45" s="131"/>
      <c r="BD45" s="131"/>
      <c r="BE45" s="131"/>
      <c r="BF45" s="131"/>
      <c r="BG45" s="131"/>
      <c r="BH45" s="131"/>
      <c r="BI45" s="131"/>
      <c r="BJ45" s="131"/>
      <c r="BK45" s="131"/>
      <c r="BL45" s="131"/>
      <c r="BM45" s="131"/>
      <c r="BN45" s="131"/>
      <c r="BO45" s="131"/>
      <c r="BP45" s="131"/>
      <c r="BQ45" s="131"/>
      <c r="BR45" s="131"/>
      <c r="BS45" s="131"/>
      <c r="BT45" s="131"/>
      <c r="BU45" s="131"/>
      <c r="BV45" s="131"/>
      <c r="BW45" s="131"/>
      <c r="BX45" s="131"/>
      <c r="BY45" s="131"/>
      <c r="BZ45" s="131"/>
      <c r="CA45" s="131"/>
      <c r="CB45" s="131"/>
      <c r="CC45" s="131"/>
      <c r="CD45" s="131"/>
      <c r="CE45" s="131"/>
      <c r="CF45" s="131"/>
      <c r="CG45" s="131"/>
      <c r="CH45" s="131"/>
      <c r="CI45" s="131"/>
      <c r="CJ45" s="131"/>
      <c r="CK45" s="131"/>
      <c r="CL45" s="131"/>
      <c r="CM45" s="131"/>
      <c r="CN45" s="131"/>
      <c r="CO45" s="131"/>
      <c r="CP45" s="131"/>
      <c r="CQ45" s="131"/>
      <c r="CR45" s="131"/>
      <c r="CS45" s="131"/>
      <c r="CT45" s="131"/>
      <c r="CU45" s="131"/>
      <c r="CV45" s="131"/>
      <c r="CW45" s="131"/>
      <c r="CX45" s="131"/>
      <c r="CY45" s="131"/>
      <c r="CZ45" s="131"/>
      <c r="DA45" s="131"/>
      <c r="DB45" s="131"/>
      <c r="DC45" s="131"/>
      <c r="DD45" s="131"/>
      <c r="DE45" s="131"/>
      <c r="DF45" s="131"/>
      <c r="DG45" s="131"/>
      <c r="DH45" s="131"/>
      <c r="DI45" s="132"/>
      <c r="DJ45" s="180"/>
      <c r="DK45" s="105"/>
      <c r="DL45" s="105"/>
      <c r="DM45" s="105"/>
      <c r="DN45" s="105"/>
      <c r="DO45" s="105"/>
      <c r="DP45" s="105"/>
      <c r="DQ45" s="107"/>
      <c r="DR45" s="107"/>
      <c r="DS45" s="107"/>
      <c r="DT45" s="107"/>
      <c r="DU45" s="107"/>
      <c r="DV45" s="107"/>
      <c r="DW45" s="107"/>
      <c r="DX45" s="107"/>
      <c r="DY45" s="107"/>
      <c r="DZ45" s="107"/>
    </row>
    <row r="46" ht="12.0" customHeight="1">
      <c r="A46" s="108"/>
      <c r="B46" s="133" t="s">
        <v>130</v>
      </c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>
        <f>N45+5</f>
        <v>55</v>
      </c>
      <c r="Q46" s="134">
        <f t="shared" ref="Q46:W46" si="121">P46+5</f>
        <v>60</v>
      </c>
      <c r="R46" s="134">
        <f t="shared" si="121"/>
        <v>65</v>
      </c>
      <c r="S46" s="134">
        <f t="shared" si="121"/>
        <v>70</v>
      </c>
      <c r="T46" s="134">
        <f t="shared" si="121"/>
        <v>75</v>
      </c>
      <c r="U46" s="134">
        <f t="shared" si="121"/>
        <v>80</v>
      </c>
      <c r="V46" s="134">
        <f t="shared" si="121"/>
        <v>85</v>
      </c>
      <c r="W46" s="134">
        <f t="shared" si="121"/>
        <v>90</v>
      </c>
      <c r="X46" s="134">
        <f t="shared" ref="X46:Z46" si="122">W46+10</f>
        <v>100</v>
      </c>
      <c r="Y46" s="134">
        <f t="shared" si="122"/>
        <v>110</v>
      </c>
      <c r="Z46" s="134">
        <f t="shared" si="122"/>
        <v>120</v>
      </c>
      <c r="AA46" s="134">
        <v>130.0</v>
      </c>
      <c r="AB46" s="134">
        <f t="shared" si="120"/>
        <v>130</v>
      </c>
      <c r="AC46" s="135">
        <f>AA46+5</f>
        <v>135</v>
      </c>
      <c r="AD46" s="135">
        <f t="shared" ref="AD46:AM46" si="123">AC46+5</f>
        <v>140</v>
      </c>
      <c r="AE46" s="135">
        <f t="shared" si="123"/>
        <v>145</v>
      </c>
      <c r="AF46" s="135">
        <f t="shared" si="123"/>
        <v>150</v>
      </c>
      <c r="AG46" s="135">
        <f t="shared" si="123"/>
        <v>155</v>
      </c>
      <c r="AH46" s="135">
        <f t="shared" si="123"/>
        <v>160</v>
      </c>
      <c r="AI46" s="135">
        <f t="shared" si="123"/>
        <v>165</v>
      </c>
      <c r="AJ46" s="135">
        <f t="shared" si="123"/>
        <v>170</v>
      </c>
      <c r="AK46" s="135">
        <f t="shared" si="123"/>
        <v>175</v>
      </c>
      <c r="AL46" s="135">
        <f t="shared" si="123"/>
        <v>180</v>
      </c>
      <c r="AM46" s="135">
        <f t="shared" si="123"/>
        <v>185</v>
      </c>
      <c r="AN46" s="135">
        <v>190.0</v>
      </c>
      <c r="AO46" s="135">
        <f t="shared" si="124"/>
        <v>190</v>
      </c>
      <c r="AP46" s="135">
        <f>AO46</f>
        <v>190</v>
      </c>
      <c r="AQ46" s="135">
        <f>AP46+1</f>
        <v>191</v>
      </c>
      <c r="AR46" s="135">
        <f>AQ46</f>
        <v>191</v>
      </c>
      <c r="AS46" s="135">
        <f>AR46+3</f>
        <v>194</v>
      </c>
      <c r="AT46" s="135">
        <f>AS46</f>
        <v>194</v>
      </c>
      <c r="AU46" s="135">
        <f>AT46+1</f>
        <v>195</v>
      </c>
      <c r="AV46" s="135">
        <f>AU46</f>
        <v>195</v>
      </c>
      <c r="AW46" s="135">
        <f>AV46+2</f>
        <v>197</v>
      </c>
      <c r="AX46" s="135">
        <f>AW46</f>
        <v>197</v>
      </c>
      <c r="AY46" s="135">
        <f t="shared" ref="AY46:BA46" si="125">AX46+1</f>
        <v>198</v>
      </c>
      <c r="AZ46" s="135">
        <f t="shared" si="125"/>
        <v>199</v>
      </c>
      <c r="BA46" s="135">
        <f t="shared" si="125"/>
        <v>200</v>
      </c>
      <c r="BB46" s="135">
        <v>200.0</v>
      </c>
      <c r="BC46" s="104"/>
      <c r="BD46" s="104"/>
      <c r="BE46" s="104"/>
      <c r="BF46" s="104"/>
      <c r="BG46" s="104"/>
      <c r="BH46" s="104"/>
      <c r="BI46" s="104"/>
      <c r="BJ46" s="104"/>
      <c r="BK46" s="104"/>
      <c r="BL46" s="104"/>
      <c r="BM46" s="104"/>
      <c r="BN46" s="104"/>
      <c r="BO46" s="104"/>
      <c r="BP46" s="104"/>
      <c r="BQ46" s="104"/>
      <c r="BR46" s="104"/>
      <c r="BS46" s="104"/>
      <c r="BT46" s="104"/>
      <c r="BU46" s="104"/>
      <c r="BV46" s="104"/>
      <c r="BW46" s="104"/>
      <c r="BX46" s="104"/>
      <c r="BY46" s="104"/>
      <c r="BZ46" s="104"/>
      <c r="CA46" s="104"/>
      <c r="CB46" s="104"/>
      <c r="CC46" s="104"/>
      <c r="CD46" s="104"/>
      <c r="CE46" s="104"/>
      <c r="CF46" s="104"/>
      <c r="CG46" s="104"/>
      <c r="CH46" s="104"/>
      <c r="CI46" s="104"/>
      <c r="CJ46" s="104"/>
      <c r="CK46" s="104"/>
      <c r="CL46" s="104"/>
      <c r="CM46" s="104"/>
      <c r="CN46" s="104"/>
      <c r="CO46" s="104"/>
      <c r="CP46" s="104"/>
      <c r="CQ46" s="104"/>
      <c r="CR46" s="104"/>
      <c r="CS46" s="104"/>
      <c r="CT46" s="104"/>
      <c r="CU46" s="104"/>
      <c r="CV46" s="104"/>
      <c r="CW46" s="104"/>
      <c r="CX46" s="104"/>
      <c r="CY46" s="104"/>
      <c r="CZ46" s="104"/>
      <c r="DA46" s="104"/>
      <c r="DB46" s="104"/>
      <c r="DC46" s="104"/>
      <c r="DD46" s="104"/>
      <c r="DE46" s="104"/>
      <c r="DF46" s="104"/>
      <c r="DG46" s="104"/>
      <c r="DH46" s="104"/>
      <c r="DI46" s="105"/>
      <c r="DJ46" s="180"/>
      <c r="DK46" s="105"/>
      <c r="DL46" s="105"/>
      <c r="DM46" s="105"/>
      <c r="DN46" s="105"/>
      <c r="DO46" s="105"/>
      <c r="DP46" s="105"/>
      <c r="DQ46" s="107"/>
      <c r="DR46" s="107"/>
      <c r="DS46" s="107"/>
      <c r="DT46" s="107"/>
      <c r="DU46" s="107"/>
      <c r="DV46" s="107"/>
      <c r="DW46" s="107"/>
      <c r="DX46" s="107"/>
      <c r="DY46" s="107"/>
      <c r="DZ46" s="107"/>
    </row>
    <row r="47" ht="12.0" customHeight="1">
      <c r="A47" s="108"/>
      <c r="B47" s="120" t="s">
        <v>158</v>
      </c>
      <c r="C47" s="121">
        <v>0.9</v>
      </c>
      <c r="D47" s="121">
        <v>0.88</v>
      </c>
      <c r="E47" s="121">
        <v>0.87</v>
      </c>
      <c r="F47" s="121">
        <v>0.84</v>
      </c>
      <c r="G47" s="121">
        <v>0.8</v>
      </c>
      <c r="H47" s="121">
        <v>0.76</v>
      </c>
      <c r="I47" s="121">
        <v>0.69</v>
      </c>
      <c r="J47" s="121">
        <v>0.65</v>
      </c>
      <c r="K47" s="121">
        <v>0.64</v>
      </c>
      <c r="L47" s="121">
        <v>0.63</v>
      </c>
      <c r="M47" s="121">
        <v>0.61</v>
      </c>
      <c r="N47" s="121">
        <f t="shared" ref="N47:AE47" si="126">N45/N44</f>
        <v>0.6024096386</v>
      </c>
      <c r="O47" s="121">
        <f t="shared" si="126"/>
        <v>0.6024096386</v>
      </c>
      <c r="P47" s="121">
        <f t="shared" si="126"/>
        <v>0.6588235294</v>
      </c>
      <c r="Q47" s="121">
        <f t="shared" si="126"/>
        <v>0.7093023256</v>
      </c>
      <c r="R47" s="121">
        <f t="shared" si="126"/>
        <v>0.7692307692</v>
      </c>
      <c r="S47" s="121">
        <f t="shared" si="126"/>
        <v>0.8131868132</v>
      </c>
      <c r="T47" s="121">
        <f t="shared" si="126"/>
        <v>0.8571428571</v>
      </c>
      <c r="U47" s="121">
        <f t="shared" si="126"/>
        <v>0.7912087912</v>
      </c>
      <c r="V47" s="121">
        <f t="shared" si="126"/>
        <v>0.7204301075</v>
      </c>
      <c r="W47" s="121">
        <f t="shared" si="126"/>
        <v>0.806122449</v>
      </c>
      <c r="X47" s="121">
        <f t="shared" si="126"/>
        <v>0.8888888889</v>
      </c>
      <c r="Y47" s="121">
        <f t="shared" si="126"/>
        <v>0.9568965517</v>
      </c>
      <c r="Z47" s="121">
        <f t="shared" si="126"/>
        <v>1.016</v>
      </c>
      <c r="AA47" s="121">
        <f t="shared" si="126"/>
        <v>0.9632352941</v>
      </c>
      <c r="AB47" s="121">
        <f t="shared" si="126"/>
        <v>0.9632352941</v>
      </c>
      <c r="AC47" s="121">
        <f t="shared" si="126"/>
        <v>0.9652777778</v>
      </c>
      <c r="AD47" s="121">
        <f t="shared" si="126"/>
        <v>0.9798657718</v>
      </c>
      <c r="AE47" s="121">
        <f t="shared" si="126"/>
        <v>0.974025974</v>
      </c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  <c r="BA47" s="136"/>
      <c r="BB47" s="136"/>
      <c r="BC47" s="104"/>
      <c r="BD47" s="104"/>
      <c r="BE47" s="104"/>
      <c r="BF47" s="104"/>
      <c r="BG47" s="104"/>
      <c r="BH47" s="104"/>
      <c r="BI47" s="104"/>
      <c r="BJ47" s="104"/>
      <c r="BK47" s="104"/>
      <c r="BL47" s="104"/>
      <c r="BM47" s="104"/>
      <c r="BN47" s="104"/>
      <c r="BO47" s="104"/>
      <c r="BP47" s="104"/>
      <c r="BQ47" s="104"/>
      <c r="BR47" s="104"/>
      <c r="BS47" s="104"/>
      <c r="BT47" s="104"/>
      <c r="BU47" s="104"/>
      <c r="BV47" s="104"/>
      <c r="BW47" s="104"/>
      <c r="BX47" s="104"/>
      <c r="BY47" s="104"/>
      <c r="BZ47" s="104"/>
      <c r="CA47" s="104"/>
      <c r="CB47" s="104"/>
      <c r="CC47" s="104"/>
      <c r="CD47" s="104"/>
      <c r="CE47" s="104"/>
      <c r="CF47" s="104"/>
      <c r="CG47" s="104"/>
      <c r="CH47" s="104"/>
      <c r="CI47" s="104"/>
      <c r="CJ47" s="104"/>
      <c r="CK47" s="104"/>
      <c r="CL47" s="104"/>
      <c r="CM47" s="104"/>
      <c r="CN47" s="104"/>
      <c r="CO47" s="104"/>
      <c r="CP47" s="104"/>
      <c r="CQ47" s="104"/>
      <c r="CR47" s="104"/>
      <c r="CS47" s="104"/>
      <c r="CT47" s="104"/>
      <c r="CU47" s="104"/>
      <c r="CV47" s="104"/>
      <c r="CW47" s="104"/>
      <c r="CX47" s="104"/>
      <c r="CY47" s="104"/>
      <c r="CZ47" s="104"/>
      <c r="DA47" s="104"/>
      <c r="DB47" s="104"/>
      <c r="DC47" s="104"/>
      <c r="DD47" s="104"/>
      <c r="DE47" s="104"/>
      <c r="DF47" s="104"/>
      <c r="DG47" s="104"/>
      <c r="DH47" s="104"/>
      <c r="DI47" s="105"/>
      <c r="DJ47" s="180"/>
      <c r="DK47" s="105"/>
      <c r="DL47" s="105"/>
      <c r="DM47" s="105"/>
      <c r="DN47" s="105"/>
      <c r="DO47" s="105"/>
      <c r="DP47" s="105"/>
      <c r="DQ47" s="107"/>
      <c r="DR47" s="107"/>
      <c r="DS47" s="107"/>
      <c r="DT47" s="107"/>
      <c r="DU47" s="107"/>
      <c r="DV47" s="107"/>
      <c r="DW47" s="107"/>
      <c r="DX47" s="107"/>
      <c r="DY47" s="107"/>
      <c r="DZ47" s="107"/>
    </row>
    <row r="48" ht="12.0" customHeight="1">
      <c r="A48" s="123"/>
      <c r="B48" s="124" t="s">
        <v>132</v>
      </c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88">
        <f t="shared" ref="P48:AA48" si="127">P46/P44</f>
        <v>0.6470588235</v>
      </c>
      <c r="Q48" s="88">
        <f t="shared" si="127"/>
        <v>0.6976744186</v>
      </c>
      <c r="R48" s="88">
        <f t="shared" si="127"/>
        <v>0.7142857143</v>
      </c>
      <c r="S48" s="88">
        <f t="shared" si="127"/>
        <v>0.7692307692</v>
      </c>
      <c r="T48" s="88">
        <f t="shared" si="127"/>
        <v>0.8241758242</v>
      </c>
      <c r="U48" s="88">
        <f t="shared" si="127"/>
        <v>0.8791208791</v>
      </c>
      <c r="V48" s="88">
        <f t="shared" si="127"/>
        <v>0.9139784946</v>
      </c>
      <c r="W48" s="88">
        <f t="shared" si="127"/>
        <v>0.9183673469</v>
      </c>
      <c r="X48" s="88">
        <f t="shared" si="127"/>
        <v>0.9259259259</v>
      </c>
      <c r="Y48" s="88">
        <f t="shared" si="127"/>
        <v>0.9482758621</v>
      </c>
      <c r="Z48" s="88">
        <f t="shared" si="127"/>
        <v>0.96</v>
      </c>
      <c r="AA48" s="88">
        <f t="shared" si="127"/>
        <v>0.9558823529</v>
      </c>
      <c r="AB48" s="88"/>
      <c r="AC48" s="88">
        <f t="shared" ref="AC48:AN48" si="128">AC46/AC44</f>
        <v>0.9375</v>
      </c>
      <c r="AD48" s="88">
        <f t="shared" si="128"/>
        <v>0.9395973154</v>
      </c>
      <c r="AE48" s="88">
        <f t="shared" si="128"/>
        <v>0.9415584416</v>
      </c>
      <c r="AF48" s="88">
        <f t="shared" si="128"/>
        <v>0.9433962264</v>
      </c>
      <c r="AG48" s="88">
        <f t="shared" si="128"/>
        <v>0.9451219512</v>
      </c>
      <c r="AH48" s="88">
        <f t="shared" si="128"/>
        <v>0.9467455621</v>
      </c>
      <c r="AI48" s="88">
        <f t="shared" si="128"/>
        <v>0.9482758621</v>
      </c>
      <c r="AJ48" s="88">
        <f t="shared" si="128"/>
        <v>0.9497206704</v>
      </c>
      <c r="AK48" s="88">
        <f t="shared" si="128"/>
        <v>0.9510869565</v>
      </c>
      <c r="AL48" s="88">
        <f t="shared" si="128"/>
        <v>0.9523809524</v>
      </c>
      <c r="AM48" s="88">
        <f t="shared" si="128"/>
        <v>0.9536082474</v>
      </c>
      <c r="AN48" s="88">
        <f t="shared" si="128"/>
        <v>0.9547738693</v>
      </c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139"/>
      <c r="DK48" s="99"/>
      <c r="DL48" s="99"/>
      <c r="DM48" s="99"/>
      <c r="DN48" s="99"/>
      <c r="DO48" s="99"/>
      <c r="DP48" s="99"/>
      <c r="DQ48" s="99"/>
    </row>
    <row r="49" ht="12.0" customHeight="1">
      <c r="A49" s="6"/>
      <c r="B49" s="99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139"/>
      <c r="DK49" s="99"/>
      <c r="DL49" s="99"/>
      <c r="DM49" s="99"/>
      <c r="DN49" s="99"/>
      <c r="DO49" s="99"/>
      <c r="DP49" s="99"/>
      <c r="DQ49" s="99"/>
    </row>
    <row r="50" ht="12.0" customHeight="1">
      <c r="A50" s="6"/>
      <c r="B50" s="36" t="s">
        <v>133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83"/>
      <c r="O50" s="83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99"/>
      <c r="AP50" s="183"/>
      <c r="AQ50" s="183"/>
      <c r="AR50" s="183"/>
      <c r="AS50" s="183"/>
      <c r="AT50" s="183"/>
      <c r="AU50" s="183"/>
      <c r="AV50" s="183"/>
      <c r="AW50" s="183"/>
      <c r="AX50" s="183"/>
      <c r="AY50" s="183"/>
      <c r="AZ50" s="183"/>
      <c r="BA50" s="183"/>
      <c r="BB50" s="184">
        <f t="shared" ref="BB50:BB52" si="129">SUM(AP50:BA50)</f>
        <v>0</v>
      </c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139"/>
      <c r="DK50" s="99"/>
      <c r="DL50" s="99"/>
      <c r="DM50" s="99"/>
      <c r="DN50" s="99"/>
      <c r="DO50" s="99"/>
      <c r="DP50" s="99"/>
      <c r="DQ50" s="99"/>
    </row>
    <row r="51" ht="12.0" customHeight="1">
      <c r="A51" s="6"/>
      <c r="B51" s="36" t="s">
        <v>134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99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A51" s="183"/>
      <c r="BB51" s="184">
        <f t="shared" si="129"/>
        <v>0</v>
      </c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139"/>
      <c r="DK51" s="99"/>
      <c r="DL51" s="99"/>
      <c r="DM51" s="99"/>
      <c r="DN51" s="99"/>
      <c r="DO51" s="99"/>
      <c r="DP51" s="99"/>
      <c r="DQ51" s="99"/>
    </row>
    <row r="52" ht="12.0" customHeight="1">
      <c r="A52" s="6"/>
      <c r="B52" s="36" t="s">
        <v>135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99"/>
      <c r="AP52" s="183"/>
      <c r="AQ52" s="185"/>
      <c r="AR52" s="183"/>
      <c r="AS52" s="183"/>
      <c r="AT52" s="183"/>
      <c r="AU52" s="183"/>
      <c r="AV52" s="183"/>
      <c r="AW52" s="183"/>
      <c r="AX52" s="183"/>
      <c r="AY52" s="183"/>
      <c r="AZ52" s="183"/>
      <c r="BA52" s="183"/>
      <c r="BB52" s="184">
        <f t="shared" si="129"/>
        <v>0</v>
      </c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139"/>
      <c r="DK52" s="99"/>
      <c r="DL52" s="99"/>
      <c r="DM52" s="99"/>
      <c r="DN52" s="99"/>
      <c r="DO52" s="99"/>
      <c r="DP52" s="99"/>
      <c r="DQ52" s="99"/>
    </row>
    <row r="53" ht="12.0" customHeight="1">
      <c r="A53" s="6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139"/>
      <c r="DJ53" s="99"/>
      <c r="DK53" s="99"/>
      <c r="DL53" s="99"/>
      <c r="DM53" s="99"/>
      <c r="DN53" s="99"/>
      <c r="DO53" s="99"/>
      <c r="DP53" s="99"/>
    </row>
    <row r="54" ht="12.0" customHeight="1">
      <c r="A54" s="6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139"/>
      <c r="DJ54" s="99"/>
      <c r="DK54" s="99"/>
      <c r="DL54" s="99"/>
      <c r="DM54" s="99"/>
      <c r="DN54" s="99"/>
      <c r="DO54" s="99"/>
      <c r="DP54" s="99"/>
    </row>
    <row r="55" ht="12.0" customHeight="1">
      <c r="A55" s="6"/>
      <c r="B55" s="99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99"/>
      <c r="AP55" s="99"/>
      <c r="AQ55" s="11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139"/>
      <c r="DK55" s="99"/>
      <c r="DL55" s="99"/>
      <c r="DM55" s="99"/>
      <c r="DN55" s="99"/>
      <c r="DO55" s="99"/>
      <c r="DP55" s="99"/>
      <c r="DQ55" s="99"/>
    </row>
    <row r="56" ht="12.0" customHeight="1">
      <c r="A56" s="6"/>
      <c r="B56" s="99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/>
      <c r="DJ56" s="139"/>
      <c r="DK56" s="99"/>
      <c r="DL56" s="99"/>
      <c r="DM56" s="99"/>
      <c r="DN56" s="99"/>
      <c r="DO56" s="99"/>
      <c r="DP56" s="99"/>
      <c r="DQ56" s="99"/>
    </row>
    <row r="57" ht="12.0" customHeight="1">
      <c r="A57" s="6"/>
      <c r="B57" s="99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139"/>
      <c r="DK57" s="99"/>
      <c r="DL57" s="99"/>
      <c r="DM57" s="99"/>
      <c r="DN57" s="99"/>
      <c r="DO57" s="99"/>
      <c r="DP57" s="99"/>
      <c r="DQ57" s="99"/>
    </row>
    <row r="58" ht="12.0" customHeight="1">
      <c r="A58" s="6"/>
      <c r="B58" s="9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139"/>
      <c r="DK58" s="99"/>
      <c r="DL58" s="99"/>
      <c r="DM58" s="99"/>
      <c r="DN58" s="99"/>
      <c r="DO58" s="99"/>
      <c r="DP58" s="99"/>
      <c r="DQ58" s="99"/>
    </row>
    <row r="59" ht="12.0" customHeight="1">
      <c r="A59" s="6"/>
      <c r="B59" s="99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139"/>
      <c r="DK59" s="99"/>
      <c r="DL59" s="99"/>
      <c r="DM59" s="99"/>
      <c r="DN59" s="99"/>
      <c r="DO59" s="99"/>
      <c r="DP59" s="99"/>
      <c r="DQ59" s="99"/>
    </row>
    <row r="60" ht="12.0" customHeight="1">
      <c r="A60" s="6"/>
      <c r="B60" s="99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/>
      <c r="DE60" s="99"/>
      <c r="DF60" s="99"/>
      <c r="DG60" s="99"/>
      <c r="DH60" s="99"/>
      <c r="DI60" s="99"/>
      <c r="DJ60" s="139"/>
      <c r="DK60" s="99"/>
      <c r="DL60" s="99"/>
      <c r="DM60" s="99"/>
      <c r="DN60" s="99"/>
      <c r="DO60" s="99"/>
      <c r="DP60" s="99"/>
      <c r="DQ60" s="99"/>
    </row>
    <row r="61" ht="12.0" customHeight="1">
      <c r="A61" s="6"/>
      <c r="B61" s="9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  <c r="CV61" s="99"/>
      <c r="CW61" s="99"/>
      <c r="CX61" s="99"/>
      <c r="CY61" s="99"/>
      <c r="CZ61" s="99"/>
      <c r="DA61" s="99"/>
      <c r="DB61" s="99"/>
      <c r="DC61" s="99"/>
      <c r="DD61" s="99"/>
      <c r="DE61" s="99"/>
      <c r="DF61" s="99"/>
      <c r="DG61" s="99"/>
      <c r="DH61" s="99"/>
      <c r="DI61" s="99"/>
      <c r="DJ61" s="139"/>
      <c r="DK61" s="99"/>
      <c r="DL61" s="99"/>
      <c r="DM61" s="99"/>
      <c r="DN61" s="99"/>
      <c r="DO61" s="99"/>
      <c r="DP61" s="99"/>
      <c r="DQ61" s="99"/>
    </row>
    <row r="62" ht="12.0" customHeight="1">
      <c r="A62" s="6"/>
      <c r="B62" s="9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/>
      <c r="CU62" s="99"/>
      <c r="CV62" s="99"/>
      <c r="CW62" s="99"/>
      <c r="CX62" s="99"/>
      <c r="CY62" s="99"/>
      <c r="CZ62" s="99"/>
      <c r="DA62" s="99"/>
      <c r="DB62" s="99"/>
      <c r="DC62" s="99"/>
      <c r="DD62" s="99"/>
      <c r="DE62" s="99"/>
      <c r="DF62" s="99"/>
      <c r="DG62" s="99"/>
      <c r="DH62" s="99"/>
      <c r="DI62" s="99"/>
      <c r="DJ62" s="139"/>
      <c r="DK62" s="99"/>
      <c r="DL62" s="99"/>
      <c r="DM62" s="99"/>
      <c r="DN62" s="99"/>
      <c r="DO62" s="99"/>
      <c r="DP62" s="99"/>
      <c r="DQ62" s="99"/>
    </row>
    <row r="63" ht="12.0" customHeight="1">
      <c r="A63" s="6"/>
      <c r="B63" s="9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139"/>
      <c r="DK63" s="99"/>
      <c r="DL63" s="99"/>
      <c r="DM63" s="99"/>
      <c r="DN63" s="99"/>
      <c r="DO63" s="99"/>
      <c r="DP63" s="99"/>
      <c r="DQ63" s="99"/>
    </row>
    <row r="64" ht="12.0" customHeight="1">
      <c r="A64" s="6"/>
      <c r="B64" s="99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/>
      <c r="CU64" s="99"/>
      <c r="CV64" s="99"/>
      <c r="CW64" s="99"/>
      <c r="CX64" s="99"/>
      <c r="CY64" s="99"/>
      <c r="CZ64" s="99"/>
      <c r="DA64" s="99"/>
      <c r="DB64" s="99"/>
      <c r="DC64" s="99"/>
      <c r="DD64" s="99"/>
      <c r="DE64" s="99"/>
      <c r="DF64" s="99"/>
      <c r="DG64" s="99"/>
      <c r="DH64" s="99"/>
      <c r="DI64" s="99"/>
      <c r="DJ64" s="139"/>
      <c r="DK64" s="99"/>
      <c r="DL64" s="99"/>
      <c r="DM64" s="99"/>
      <c r="DN64" s="99"/>
      <c r="DO64" s="99"/>
      <c r="DP64" s="99"/>
      <c r="DQ64" s="99"/>
    </row>
    <row r="65" ht="12.0" customHeight="1">
      <c r="A65" s="6"/>
      <c r="B65" s="99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  <c r="CZ65" s="99"/>
      <c r="DA65" s="99"/>
      <c r="DB65" s="99"/>
      <c r="DC65" s="99"/>
      <c r="DD65" s="99"/>
      <c r="DE65" s="99"/>
      <c r="DF65" s="99"/>
      <c r="DG65" s="99"/>
      <c r="DH65" s="99"/>
      <c r="DI65" s="99"/>
      <c r="DJ65" s="139"/>
      <c r="DK65" s="99"/>
      <c r="DL65" s="99"/>
      <c r="DM65" s="99"/>
      <c r="DN65" s="99"/>
      <c r="DO65" s="99"/>
      <c r="DP65" s="99"/>
      <c r="DQ65" s="99"/>
    </row>
    <row r="66" ht="12.0" customHeight="1">
      <c r="A66" s="6"/>
      <c r="B66" s="99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/>
      <c r="CU66" s="99"/>
      <c r="CV66" s="99"/>
      <c r="CW66" s="99"/>
      <c r="CX66" s="99"/>
      <c r="CY66" s="99"/>
      <c r="CZ66" s="99"/>
      <c r="DA66" s="99"/>
      <c r="DB66" s="99"/>
      <c r="DC66" s="99"/>
      <c r="DD66" s="99"/>
      <c r="DE66" s="99"/>
      <c r="DF66" s="99"/>
      <c r="DG66" s="99"/>
      <c r="DH66" s="99"/>
      <c r="DI66" s="99"/>
      <c r="DJ66" s="139"/>
      <c r="DK66" s="99"/>
      <c r="DL66" s="99"/>
      <c r="DM66" s="99"/>
      <c r="DN66" s="99"/>
      <c r="DO66" s="99"/>
      <c r="DP66" s="99"/>
      <c r="DQ66" s="99"/>
    </row>
    <row r="67" ht="12.0" customHeight="1">
      <c r="A67" s="6"/>
      <c r="B67" s="99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99"/>
      <c r="CV67" s="99"/>
      <c r="CW67" s="99"/>
      <c r="CX67" s="99"/>
      <c r="CY67" s="99"/>
      <c r="CZ67" s="99"/>
      <c r="DA67" s="99"/>
      <c r="DB67" s="99"/>
      <c r="DC67" s="99"/>
      <c r="DD67" s="99"/>
      <c r="DE67" s="99"/>
      <c r="DF67" s="99"/>
      <c r="DG67" s="99"/>
      <c r="DH67" s="99"/>
      <c r="DI67" s="99"/>
      <c r="DJ67" s="139"/>
      <c r="DK67" s="99"/>
      <c r="DL67" s="99"/>
      <c r="DM67" s="99"/>
      <c r="DN67" s="99"/>
      <c r="DO67" s="99"/>
      <c r="DP67" s="99"/>
      <c r="DQ67" s="99"/>
    </row>
    <row r="68" ht="12.0" customHeight="1">
      <c r="A68" s="6"/>
      <c r="B68" s="99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/>
      <c r="CN68" s="99"/>
      <c r="CO68" s="99"/>
      <c r="CP68" s="99"/>
      <c r="CQ68" s="99"/>
      <c r="CR68" s="99"/>
      <c r="CS68" s="99"/>
      <c r="CT68" s="99"/>
      <c r="CU68" s="99"/>
      <c r="CV68" s="99"/>
      <c r="CW68" s="99"/>
      <c r="CX68" s="99"/>
      <c r="CY68" s="99"/>
      <c r="CZ68" s="99"/>
      <c r="DA68" s="99"/>
      <c r="DB68" s="99"/>
      <c r="DC68" s="99"/>
      <c r="DD68" s="99"/>
      <c r="DE68" s="99"/>
      <c r="DF68" s="99"/>
      <c r="DG68" s="99"/>
      <c r="DH68" s="99"/>
      <c r="DI68" s="99"/>
      <c r="DJ68" s="139"/>
      <c r="DK68" s="99"/>
      <c r="DL68" s="99"/>
      <c r="DM68" s="99"/>
      <c r="DN68" s="99"/>
      <c r="DO68" s="99"/>
      <c r="DP68" s="99"/>
      <c r="DQ68" s="99"/>
    </row>
    <row r="69" ht="12.0" customHeight="1">
      <c r="A69" s="6"/>
      <c r="B69" s="99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  <c r="CV69" s="99"/>
      <c r="CW69" s="99"/>
      <c r="CX69" s="99"/>
      <c r="CY69" s="99"/>
      <c r="CZ69" s="99"/>
      <c r="DA69" s="99"/>
      <c r="DB69" s="99"/>
      <c r="DC69" s="99"/>
      <c r="DD69" s="99"/>
      <c r="DE69" s="99"/>
      <c r="DF69" s="99"/>
      <c r="DG69" s="99"/>
      <c r="DH69" s="99"/>
      <c r="DI69" s="99"/>
      <c r="DJ69" s="139"/>
      <c r="DK69" s="99"/>
      <c r="DL69" s="99"/>
      <c r="DM69" s="99"/>
      <c r="DN69" s="99"/>
      <c r="DO69" s="99"/>
      <c r="DP69" s="99"/>
      <c r="DQ69" s="99"/>
    </row>
    <row r="70" ht="12.0" customHeight="1">
      <c r="A70" s="6"/>
      <c r="B70" s="99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  <c r="CV70" s="99"/>
      <c r="CW70" s="99"/>
      <c r="CX70" s="99"/>
      <c r="CY70" s="99"/>
      <c r="CZ70" s="99"/>
      <c r="DA70" s="99"/>
      <c r="DB70" s="99"/>
      <c r="DC70" s="99"/>
      <c r="DD70" s="99"/>
      <c r="DE70" s="99"/>
      <c r="DF70" s="99"/>
      <c r="DG70" s="99"/>
      <c r="DH70" s="99"/>
      <c r="DI70" s="99"/>
      <c r="DJ70" s="139"/>
      <c r="DK70" s="99"/>
      <c r="DL70" s="99"/>
      <c r="DM70" s="99"/>
      <c r="DN70" s="99"/>
      <c r="DO70" s="99"/>
      <c r="DP70" s="99"/>
      <c r="DQ70" s="99"/>
    </row>
    <row r="71" ht="12.0" customHeight="1">
      <c r="A71" s="6"/>
      <c r="B71" s="99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/>
      <c r="CX71" s="99"/>
      <c r="CY71" s="99"/>
      <c r="CZ71" s="99"/>
      <c r="DA71" s="99"/>
      <c r="DB71" s="99"/>
      <c r="DC71" s="99"/>
      <c r="DD71" s="99"/>
      <c r="DE71" s="99"/>
      <c r="DF71" s="99"/>
      <c r="DG71" s="99"/>
      <c r="DH71" s="99"/>
      <c r="DI71" s="99"/>
      <c r="DJ71" s="139"/>
      <c r="DK71" s="99"/>
      <c r="DL71" s="99"/>
      <c r="DM71" s="99"/>
      <c r="DN71" s="99"/>
      <c r="DO71" s="99"/>
      <c r="DP71" s="99"/>
      <c r="DQ71" s="99"/>
    </row>
    <row r="72" ht="12.0" customHeight="1">
      <c r="A72" s="6"/>
      <c r="B72" s="99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/>
      <c r="CU72" s="99"/>
      <c r="CV72" s="99"/>
      <c r="CW72" s="99"/>
      <c r="CX72" s="99"/>
      <c r="CY72" s="99"/>
      <c r="CZ72" s="99"/>
      <c r="DA72" s="99"/>
      <c r="DB72" s="99"/>
      <c r="DC72" s="99"/>
      <c r="DD72" s="99"/>
      <c r="DE72" s="99"/>
      <c r="DF72" s="99"/>
      <c r="DG72" s="99"/>
      <c r="DH72" s="99"/>
      <c r="DI72" s="99"/>
      <c r="DJ72" s="139"/>
      <c r="DK72" s="99"/>
      <c r="DL72" s="99"/>
      <c r="DM72" s="99"/>
      <c r="DN72" s="99"/>
      <c r="DO72" s="99"/>
      <c r="DP72" s="99"/>
      <c r="DQ72" s="99"/>
    </row>
    <row r="73" ht="12.0" customHeight="1">
      <c r="A73" s="6"/>
      <c r="B73" s="99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/>
      <c r="CU73" s="99"/>
      <c r="CV73" s="99"/>
      <c r="CW73" s="99"/>
      <c r="CX73" s="99"/>
      <c r="CY73" s="99"/>
      <c r="CZ73" s="99"/>
      <c r="DA73" s="99"/>
      <c r="DB73" s="99"/>
      <c r="DC73" s="99"/>
      <c r="DD73" s="99"/>
      <c r="DE73" s="99"/>
      <c r="DF73" s="99"/>
      <c r="DG73" s="99"/>
      <c r="DH73" s="99"/>
      <c r="DI73" s="99"/>
      <c r="DJ73" s="139"/>
      <c r="DK73" s="99"/>
      <c r="DL73" s="99"/>
      <c r="DM73" s="99"/>
      <c r="DN73" s="99"/>
      <c r="DO73" s="99"/>
      <c r="DP73" s="99"/>
      <c r="DQ73" s="99"/>
    </row>
    <row r="74" ht="12.0" customHeight="1">
      <c r="A74" s="6"/>
      <c r="B74" s="99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/>
      <c r="CU74" s="99"/>
      <c r="CV74" s="99"/>
      <c r="CW74" s="99"/>
      <c r="CX74" s="99"/>
      <c r="CY74" s="99"/>
      <c r="CZ74" s="99"/>
      <c r="DA74" s="99"/>
      <c r="DB74" s="99"/>
      <c r="DC74" s="99"/>
      <c r="DD74" s="99"/>
      <c r="DE74" s="99"/>
      <c r="DF74" s="99"/>
      <c r="DG74" s="99"/>
      <c r="DH74" s="99"/>
      <c r="DI74" s="99"/>
      <c r="DJ74" s="139"/>
      <c r="DK74" s="99"/>
      <c r="DL74" s="99"/>
      <c r="DM74" s="99"/>
      <c r="DN74" s="99"/>
      <c r="DO74" s="99"/>
      <c r="DP74" s="99"/>
      <c r="DQ74" s="99"/>
    </row>
    <row r="75" ht="12.0" customHeight="1">
      <c r="A75" s="6"/>
      <c r="B75" s="99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/>
      <c r="DG75" s="99"/>
      <c r="DH75" s="99"/>
      <c r="DI75" s="99"/>
      <c r="DJ75" s="139"/>
      <c r="DK75" s="99"/>
      <c r="DL75" s="99"/>
      <c r="DM75" s="99"/>
      <c r="DN75" s="99"/>
      <c r="DO75" s="99"/>
      <c r="DP75" s="99"/>
      <c r="DQ75" s="99"/>
    </row>
    <row r="76" ht="12.0" customHeight="1">
      <c r="A76" s="6"/>
      <c r="B76" s="99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9"/>
      <c r="CY76" s="99"/>
      <c r="CZ76" s="99"/>
      <c r="DA76" s="99"/>
      <c r="DB76" s="99"/>
      <c r="DC76" s="99"/>
      <c r="DD76" s="99"/>
      <c r="DE76" s="99"/>
      <c r="DF76" s="99"/>
      <c r="DG76" s="99"/>
      <c r="DH76" s="99"/>
      <c r="DI76" s="99"/>
      <c r="DJ76" s="139"/>
      <c r="DK76" s="99"/>
      <c r="DL76" s="99"/>
      <c r="DM76" s="99"/>
      <c r="DN76" s="99"/>
      <c r="DO76" s="99"/>
      <c r="DP76" s="99"/>
      <c r="DQ76" s="99"/>
    </row>
    <row r="77" ht="12.0" customHeight="1">
      <c r="A77" s="6"/>
      <c r="B77" s="99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  <c r="CS77" s="99"/>
      <c r="CT77" s="99"/>
      <c r="CU77" s="99"/>
      <c r="CV77" s="99"/>
      <c r="CW77" s="99"/>
      <c r="CX77" s="99"/>
      <c r="CY77" s="99"/>
      <c r="CZ77" s="99"/>
      <c r="DA77" s="99"/>
      <c r="DB77" s="99"/>
      <c r="DC77" s="99"/>
      <c r="DD77" s="99"/>
      <c r="DE77" s="99"/>
      <c r="DF77" s="99"/>
      <c r="DG77" s="99"/>
      <c r="DH77" s="99"/>
      <c r="DI77" s="99"/>
      <c r="DJ77" s="139"/>
      <c r="DK77" s="99"/>
      <c r="DL77" s="99"/>
      <c r="DM77" s="99"/>
      <c r="DN77" s="99"/>
      <c r="DO77" s="99"/>
      <c r="DP77" s="99"/>
      <c r="DQ77" s="99"/>
    </row>
    <row r="78" ht="12.0" customHeight="1">
      <c r="A78" s="6"/>
      <c r="B78" s="99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  <c r="CV78" s="99"/>
      <c r="CW78" s="99"/>
      <c r="CX78" s="99"/>
      <c r="CY78" s="99"/>
      <c r="CZ78" s="99"/>
      <c r="DA78" s="99"/>
      <c r="DB78" s="99"/>
      <c r="DC78" s="99"/>
      <c r="DD78" s="99"/>
      <c r="DE78" s="99"/>
      <c r="DF78" s="99"/>
      <c r="DG78" s="99"/>
      <c r="DH78" s="99"/>
      <c r="DI78" s="99"/>
      <c r="DJ78" s="139"/>
      <c r="DK78" s="99"/>
      <c r="DL78" s="99"/>
      <c r="DM78" s="99"/>
      <c r="DN78" s="99"/>
      <c r="DO78" s="99"/>
      <c r="DP78" s="99"/>
      <c r="DQ78" s="99"/>
    </row>
    <row r="79" ht="12.0" customHeight="1">
      <c r="A79" s="6"/>
      <c r="B79" s="99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99"/>
      <c r="DJ79" s="139"/>
      <c r="DK79" s="99"/>
      <c r="DL79" s="99"/>
      <c r="DM79" s="99"/>
      <c r="DN79" s="99"/>
      <c r="DO79" s="99"/>
      <c r="DP79" s="99"/>
      <c r="DQ79" s="99"/>
    </row>
    <row r="80" ht="12.0" customHeight="1">
      <c r="A80" s="6"/>
      <c r="B80" s="99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  <c r="CS80" s="99"/>
      <c r="CT80" s="99"/>
      <c r="CU80" s="99"/>
      <c r="CV80" s="99"/>
      <c r="CW80" s="99"/>
      <c r="CX80" s="99"/>
      <c r="CY80" s="99"/>
      <c r="CZ80" s="99"/>
      <c r="DA80" s="99"/>
      <c r="DB80" s="99"/>
      <c r="DC80" s="99"/>
      <c r="DD80" s="99"/>
      <c r="DE80" s="99"/>
      <c r="DF80" s="99"/>
      <c r="DG80" s="99"/>
      <c r="DH80" s="99"/>
      <c r="DI80" s="99"/>
      <c r="DJ80" s="139"/>
      <c r="DK80" s="99"/>
      <c r="DL80" s="99"/>
      <c r="DM80" s="99"/>
      <c r="DN80" s="99"/>
      <c r="DO80" s="99"/>
      <c r="DP80" s="99"/>
      <c r="DQ80" s="99"/>
    </row>
    <row r="81" ht="12.0" customHeight="1">
      <c r="A81" s="6"/>
      <c r="B81" s="99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/>
      <c r="CX81" s="99"/>
      <c r="CY81" s="99"/>
      <c r="CZ81" s="99"/>
      <c r="DA81" s="99"/>
      <c r="DB81" s="99"/>
      <c r="DC81" s="99"/>
      <c r="DD81" s="99"/>
      <c r="DE81" s="99"/>
      <c r="DF81" s="99"/>
      <c r="DG81" s="99"/>
      <c r="DH81" s="99"/>
      <c r="DI81" s="99"/>
      <c r="DJ81" s="139"/>
      <c r="DK81" s="99"/>
      <c r="DL81" s="99"/>
      <c r="DM81" s="99"/>
      <c r="DN81" s="99"/>
      <c r="DO81" s="99"/>
      <c r="DP81" s="99"/>
      <c r="DQ81" s="99"/>
    </row>
    <row r="82" ht="12.0" customHeight="1">
      <c r="A82" s="6"/>
      <c r="B82" s="99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99"/>
      <c r="CX82" s="99"/>
      <c r="CY82" s="99"/>
      <c r="CZ82" s="99"/>
      <c r="DA82" s="99"/>
      <c r="DB82" s="99"/>
      <c r="DC82" s="99"/>
      <c r="DD82" s="99"/>
      <c r="DE82" s="99"/>
      <c r="DF82" s="99"/>
      <c r="DG82" s="99"/>
      <c r="DH82" s="99"/>
      <c r="DI82" s="99"/>
      <c r="DJ82" s="139"/>
      <c r="DK82" s="99"/>
      <c r="DL82" s="99"/>
      <c r="DM82" s="99"/>
      <c r="DN82" s="99"/>
      <c r="DO82" s="99"/>
      <c r="DP82" s="99"/>
      <c r="DQ82" s="99"/>
    </row>
    <row r="83" ht="12.0" customHeight="1">
      <c r="A83" s="6"/>
      <c r="B83" s="99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  <c r="CE83" s="99"/>
      <c r="CF83" s="99"/>
      <c r="CG83" s="99"/>
      <c r="CH83" s="99"/>
      <c r="CI83" s="99"/>
      <c r="CJ83" s="99"/>
      <c r="CK83" s="99"/>
      <c r="CL83" s="99"/>
      <c r="CM83" s="99"/>
      <c r="CN83" s="99"/>
      <c r="CO83" s="99"/>
      <c r="CP83" s="99"/>
      <c r="CQ83" s="99"/>
      <c r="CR83" s="99"/>
      <c r="CS83" s="99"/>
      <c r="CT83" s="99"/>
      <c r="CU83" s="99"/>
      <c r="CV83" s="99"/>
      <c r="CW83" s="99"/>
      <c r="CX83" s="99"/>
      <c r="CY83" s="99"/>
      <c r="CZ83" s="99"/>
      <c r="DA83" s="99"/>
      <c r="DB83" s="99"/>
      <c r="DC83" s="99"/>
      <c r="DD83" s="99"/>
      <c r="DE83" s="99"/>
      <c r="DF83" s="99"/>
      <c r="DG83" s="99"/>
      <c r="DH83" s="99"/>
      <c r="DI83" s="99"/>
      <c r="DJ83" s="139"/>
      <c r="DK83" s="99"/>
      <c r="DL83" s="99"/>
      <c r="DM83" s="99"/>
      <c r="DN83" s="99"/>
      <c r="DO83" s="99"/>
      <c r="DP83" s="99"/>
      <c r="DQ83" s="99"/>
    </row>
    <row r="84" ht="12.0" customHeight="1">
      <c r="A84" s="6"/>
      <c r="B84" s="99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  <c r="CJ84" s="99"/>
      <c r="CK84" s="99"/>
      <c r="CL84" s="99"/>
      <c r="CM84" s="99"/>
      <c r="CN84" s="99"/>
      <c r="CO84" s="99"/>
      <c r="CP84" s="99"/>
      <c r="CQ84" s="99"/>
      <c r="CR84" s="99"/>
      <c r="CS84" s="99"/>
      <c r="CT84" s="99"/>
      <c r="CU84" s="99"/>
      <c r="CV84" s="99"/>
      <c r="CW84" s="99"/>
      <c r="CX84" s="99"/>
      <c r="CY84" s="99"/>
      <c r="CZ84" s="99"/>
      <c r="DA84" s="99"/>
      <c r="DB84" s="99"/>
      <c r="DC84" s="99"/>
      <c r="DD84" s="99"/>
      <c r="DE84" s="99"/>
      <c r="DF84" s="99"/>
      <c r="DG84" s="99"/>
      <c r="DH84" s="99"/>
      <c r="DI84" s="99"/>
      <c r="DJ84" s="139"/>
      <c r="DK84" s="99"/>
      <c r="DL84" s="99"/>
      <c r="DM84" s="99"/>
      <c r="DN84" s="99"/>
      <c r="DO84" s="99"/>
      <c r="DP84" s="99"/>
      <c r="DQ84" s="99"/>
    </row>
    <row r="85" ht="12.0" customHeight="1">
      <c r="A85" s="6"/>
      <c r="B85" s="99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/>
      <c r="CU85" s="99"/>
      <c r="CV85" s="99"/>
      <c r="CW85" s="99"/>
      <c r="CX85" s="99"/>
      <c r="CY85" s="99"/>
      <c r="CZ85" s="99"/>
      <c r="DA85" s="99"/>
      <c r="DB85" s="99"/>
      <c r="DC85" s="99"/>
      <c r="DD85" s="99"/>
      <c r="DE85" s="99"/>
      <c r="DF85" s="99"/>
      <c r="DG85" s="99"/>
      <c r="DH85" s="99"/>
      <c r="DI85" s="99"/>
      <c r="DJ85" s="139"/>
      <c r="DK85" s="99"/>
      <c r="DL85" s="99"/>
      <c r="DM85" s="99"/>
      <c r="DN85" s="99"/>
      <c r="DO85" s="99"/>
      <c r="DP85" s="99"/>
      <c r="DQ85" s="99"/>
    </row>
    <row r="86" ht="12.0" customHeight="1">
      <c r="A86" s="6"/>
      <c r="B86" s="99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/>
      <c r="CU86" s="99"/>
      <c r="CV86" s="99"/>
      <c r="CW86" s="99"/>
      <c r="CX86" s="99"/>
      <c r="CY86" s="99"/>
      <c r="CZ86" s="99"/>
      <c r="DA86" s="99"/>
      <c r="DB86" s="99"/>
      <c r="DC86" s="99"/>
      <c r="DD86" s="99"/>
      <c r="DE86" s="99"/>
      <c r="DF86" s="99"/>
      <c r="DG86" s="99"/>
      <c r="DH86" s="99"/>
      <c r="DI86" s="99"/>
      <c r="DJ86" s="139"/>
      <c r="DK86" s="99"/>
      <c r="DL86" s="99"/>
      <c r="DM86" s="99"/>
      <c r="DN86" s="99"/>
      <c r="DO86" s="99"/>
      <c r="DP86" s="99"/>
      <c r="DQ86" s="99"/>
    </row>
    <row r="87" ht="12.0" customHeight="1">
      <c r="A87" s="6"/>
      <c r="B87" s="99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/>
      <c r="DE87" s="99"/>
      <c r="DF87" s="99"/>
      <c r="DG87" s="99"/>
      <c r="DH87" s="99"/>
      <c r="DI87" s="99"/>
      <c r="DJ87" s="139"/>
      <c r="DK87" s="99"/>
      <c r="DL87" s="99"/>
      <c r="DM87" s="99"/>
      <c r="DN87" s="99"/>
      <c r="DO87" s="99"/>
      <c r="DP87" s="99"/>
      <c r="DQ87" s="99"/>
    </row>
    <row r="88" ht="12.0" customHeight="1">
      <c r="A88" s="6"/>
      <c r="B88" s="99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/>
      <c r="CN88" s="99"/>
      <c r="CO88" s="99"/>
      <c r="CP88" s="99"/>
      <c r="CQ88" s="99"/>
      <c r="CR88" s="99"/>
      <c r="CS88" s="99"/>
      <c r="CT88" s="99"/>
      <c r="CU88" s="99"/>
      <c r="CV88" s="99"/>
      <c r="CW88" s="99"/>
      <c r="CX88" s="99"/>
      <c r="CY88" s="99"/>
      <c r="CZ88" s="99"/>
      <c r="DA88" s="99"/>
      <c r="DB88" s="99"/>
      <c r="DC88" s="99"/>
      <c r="DD88" s="99"/>
      <c r="DE88" s="99"/>
      <c r="DF88" s="99"/>
      <c r="DG88" s="99"/>
      <c r="DH88" s="99"/>
      <c r="DI88" s="99"/>
      <c r="DJ88" s="139"/>
      <c r="DK88" s="99"/>
      <c r="DL88" s="99"/>
      <c r="DM88" s="99"/>
      <c r="DN88" s="99"/>
      <c r="DO88" s="99"/>
      <c r="DP88" s="99"/>
      <c r="DQ88" s="99"/>
    </row>
    <row r="89" ht="12.0" customHeight="1">
      <c r="A89" s="6"/>
      <c r="B89" s="99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139"/>
      <c r="DK89" s="99"/>
      <c r="DL89" s="99"/>
      <c r="DM89" s="99"/>
      <c r="DN89" s="99"/>
      <c r="DO89" s="99"/>
      <c r="DP89" s="99"/>
      <c r="DQ89" s="99"/>
    </row>
    <row r="90" ht="12.0" customHeight="1">
      <c r="A90" s="6"/>
      <c r="B90" s="99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99"/>
      <c r="DJ90" s="139"/>
      <c r="DK90" s="99"/>
      <c r="DL90" s="99"/>
      <c r="DM90" s="99"/>
      <c r="DN90" s="99"/>
      <c r="DO90" s="99"/>
      <c r="DP90" s="99"/>
      <c r="DQ90" s="99"/>
    </row>
    <row r="91" ht="12.0" customHeight="1">
      <c r="A91" s="6"/>
      <c r="B91" s="99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/>
      <c r="CU91" s="99"/>
      <c r="CV91" s="99"/>
      <c r="CW91" s="99"/>
      <c r="CX91" s="99"/>
      <c r="CY91" s="99"/>
      <c r="CZ91" s="99"/>
      <c r="DA91" s="99"/>
      <c r="DB91" s="99"/>
      <c r="DC91" s="99"/>
      <c r="DD91" s="99"/>
      <c r="DE91" s="99"/>
      <c r="DF91" s="99"/>
      <c r="DG91" s="99"/>
      <c r="DH91" s="99"/>
      <c r="DI91" s="99"/>
      <c r="DJ91" s="139"/>
      <c r="DK91" s="99"/>
      <c r="DL91" s="99"/>
      <c r="DM91" s="99"/>
      <c r="DN91" s="99"/>
      <c r="DO91" s="99"/>
      <c r="DP91" s="99"/>
      <c r="DQ91" s="99"/>
    </row>
    <row r="92" ht="12.0" customHeight="1">
      <c r="A92" s="6"/>
      <c r="B92" s="99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139"/>
      <c r="DK92" s="99"/>
      <c r="DL92" s="99"/>
      <c r="DM92" s="99"/>
      <c r="DN92" s="99"/>
      <c r="DO92" s="99"/>
      <c r="DP92" s="99"/>
      <c r="DQ92" s="99"/>
    </row>
    <row r="93" ht="12.0" customHeight="1">
      <c r="A93" s="6"/>
      <c r="B93" s="99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139"/>
      <c r="DK93" s="99"/>
      <c r="DL93" s="99"/>
      <c r="DM93" s="99"/>
      <c r="DN93" s="99"/>
      <c r="DO93" s="99"/>
      <c r="DP93" s="99"/>
      <c r="DQ93" s="99"/>
    </row>
    <row r="94" ht="12.0" customHeight="1">
      <c r="A94" s="6"/>
      <c r="B94" s="99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/>
      <c r="CP94" s="99"/>
      <c r="CQ94" s="99"/>
      <c r="CR94" s="99"/>
      <c r="CS94" s="99"/>
      <c r="CT94" s="99"/>
      <c r="CU94" s="99"/>
      <c r="CV94" s="99"/>
      <c r="CW94" s="99"/>
      <c r="CX94" s="99"/>
      <c r="CY94" s="99"/>
      <c r="CZ94" s="99"/>
      <c r="DA94" s="99"/>
      <c r="DB94" s="99"/>
      <c r="DC94" s="99"/>
      <c r="DD94" s="99"/>
      <c r="DE94" s="99"/>
      <c r="DF94" s="99"/>
      <c r="DG94" s="99"/>
      <c r="DH94" s="99"/>
      <c r="DI94" s="99"/>
      <c r="DJ94" s="139"/>
      <c r="DK94" s="99"/>
      <c r="DL94" s="99"/>
      <c r="DM94" s="99"/>
      <c r="DN94" s="99"/>
      <c r="DO94" s="99"/>
      <c r="DP94" s="99"/>
      <c r="DQ94" s="99"/>
    </row>
    <row r="95" ht="12.0" customHeight="1">
      <c r="A95" s="6"/>
      <c r="B95" s="99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  <c r="CE95" s="99"/>
      <c r="CF95" s="99"/>
      <c r="CG95" s="99"/>
      <c r="CH95" s="99"/>
      <c r="CI95" s="99"/>
      <c r="CJ95" s="99"/>
      <c r="CK95" s="99"/>
      <c r="CL95" s="99"/>
      <c r="CM95" s="99"/>
      <c r="CN95" s="99"/>
      <c r="CO95" s="99"/>
      <c r="CP95" s="99"/>
      <c r="CQ95" s="99"/>
      <c r="CR95" s="99"/>
      <c r="CS95" s="99"/>
      <c r="CT95" s="99"/>
      <c r="CU95" s="99"/>
      <c r="CV95" s="99"/>
      <c r="CW95" s="99"/>
      <c r="CX95" s="99"/>
      <c r="CY95" s="99"/>
      <c r="CZ95" s="99"/>
      <c r="DA95" s="99"/>
      <c r="DB95" s="99"/>
      <c r="DC95" s="99"/>
      <c r="DD95" s="99"/>
      <c r="DE95" s="99"/>
      <c r="DF95" s="99"/>
      <c r="DG95" s="99"/>
      <c r="DH95" s="99"/>
      <c r="DI95" s="99"/>
      <c r="DJ95" s="139"/>
      <c r="DK95" s="99"/>
      <c r="DL95" s="99"/>
      <c r="DM95" s="99"/>
      <c r="DN95" s="99"/>
      <c r="DO95" s="99"/>
      <c r="DP95" s="99"/>
      <c r="DQ95" s="99"/>
    </row>
    <row r="96" ht="12.0" customHeight="1">
      <c r="A96" s="6"/>
      <c r="B96" s="99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  <c r="CJ96" s="99"/>
      <c r="CK96" s="99"/>
      <c r="CL96" s="99"/>
      <c r="CM96" s="99"/>
      <c r="CN96" s="99"/>
      <c r="CO96" s="99"/>
      <c r="CP96" s="99"/>
      <c r="CQ96" s="99"/>
      <c r="CR96" s="99"/>
      <c r="CS96" s="99"/>
      <c r="CT96" s="99"/>
      <c r="CU96" s="99"/>
      <c r="CV96" s="99"/>
      <c r="CW96" s="99"/>
      <c r="CX96" s="99"/>
      <c r="CY96" s="99"/>
      <c r="CZ96" s="99"/>
      <c r="DA96" s="99"/>
      <c r="DB96" s="99"/>
      <c r="DC96" s="99"/>
      <c r="DD96" s="99"/>
      <c r="DE96" s="99"/>
      <c r="DF96" s="99"/>
      <c r="DG96" s="99"/>
      <c r="DH96" s="99"/>
      <c r="DI96" s="99"/>
      <c r="DJ96" s="139"/>
      <c r="DK96" s="99"/>
      <c r="DL96" s="99"/>
      <c r="DM96" s="99"/>
      <c r="DN96" s="99"/>
      <c r="DO96" s="99"/>
      <c r="DP96" s="99"/>
      <c r="DQ96" s="99"/>
    </row>
    <row r="97" ht="12.0" customHeight="1">
      <c r="A97" s="6"/>
      <c r="B97" s="99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  <c r="CJ97" s="99"/>
      <c r="CK97" s="99"/>
      <c r="CL97" s="99"/>
      <c r="CM97" s="99"/>
      <c r="CN97" s="99"/>
      <c r="CO97" s="99"/>
      <c r="CP97" s="99"/>
      <c r="CQ97" s="99"/>
      <c r="CR97" s="99"/>
      <c r="CS97" s="99"/>
      <c r="CT97" s="99"/>
      <c r="CU97" s="99"/>
      <c r="CV97" s="99"/>
      <c r="CW97" s="99"/>
      <c r="CX97" s="99"/>
      <c r="CY97" s="99"/>
      <c r="CZ97" s="99"/>
      <c r="DA97" s="99"/>
      <c r="DB97" s="99"/>
      <c r="DC97" s="99"/>
      <c r="DD97" s="99"/>
      <c r="DE97" s="99"/>
      <c r="DF97" s="99"/>
      <c r="DG97" s="99"/>
      <c r="DH97" s="99"/>
      <c r="DI97" s="99"/>
      <c r="DJ97" s="139"/>
      <c r="DK97" s="99"/>
      <c r="DL97" s="99"/>
      <c r="DM97" s="99"/>
      <c r="DN97" s="99"/>
      <c r="DO97" s="99"/>
      <c r="DP97" s="99"/>
      <c r="DQ97" s="99"/>
    </row>
    <row r="98" ht="12.0" customHeight="1">
      <c r="A98" s="6"/>
      <c r="B98" s="99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  <c r="CJ98" s="99"/>
      <c r="CK98" s="99"/>
      <c r="CL98" s="99"/>
      <c r="CM98" s="99"/>
      <c r="CN98" s="99"/>
      <c r="CO98" s="99"/>
      <c r="CP98" s="99"/>
      <c r="CQ98" s="99"/>
      <c r="CR98" s="99"/>
      <c r="CS98" s="99"/>
      <c r="CT98" s="99"/>
      <c r="CU98" s="99"/>
      <c r="CV98" s="99"/>
      <c r="CW98" s="99"/>
      <c r="CX98" s="99"/>
      <c r="CY98" s="99"/>
      <c r="CZ98" s="99"/>
      <c r="DA98" s="99"/>
      <c r="DB98" s="99"/>
      <c r="DC98" s="99"/>
      <c r="DD98" s="99"/>
      <c r="DE98" s="99"/>
      <c r="DF98" s="99"/>
      <c r="DG98" s="99"/>
      <c r="DH98" s="99"/>
      <c r="DI98" s="99"/>
      <c r="DJ98" s="139"/>
      <c r="DK98" s="99"/>
      <c r="DL98" s="99"/>
      <c r="DM98" s="99"/>
      <c r="DN98" s="99"/>
      <c r="DO98" s="99"/>
      <c r="DP98" s="99"/>
      <c r="DQ98" s="99"/>
    </row>
    <row r="99" ht="12.0" customHeight="1">
      <c r="A99" s="6"/>
      <c r="B99" s="99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  <c r="CS99" s="99"/>
      <c r="CT99" s="99"/>
      <c r="CU99" s="99"/>
      <c r="CV99" s="99"/>
      <c r="CW99" s="99"/>
      <c r="CX99" s="99"/>
      <c r="CY99" s="99"/>
      <c r="CZ99" s="99"/>
      <c r="DA99" s="99"/>
      <c r="DB99" s="99"/>
      <c r="DC99" s="99"/>
      <c r="DD99" s="99"/>
      <c r="DE99" s="99"/>
      <c r="DF99" s="99"/>
      <c r="DG99" s="99"/>
      <c r="DH99" s="99"/>
      <c r="DI99" s="99"/>
      <c r="DJ99" s="139"/>
      <c r="DK99" s="99"/>
      <c r="DL99" s="99"/>
      <c r="DM99" s="99"/>
      <c r="DN99" s="99"/>
      <c r="DO99" s="99"/>
      <c r="DP99" s="99"/>
      <c r="DQ99" s="99"/>
    </row>
    <row r="100" ht="12.0" customHeight="1">
      <c r="A100" s="6"/>
      <c r="B100" s="99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  <c r="CW100" s="99"/>
      <c r="CX100" s="99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139"/>
      <c r="DK100" s="99"/>
      <c r="DL100" s="99"/>
      <c r="DM100" s="99"/>
      <c r="DN100" s="99"/>
      <c r="DO100" s="99"/>
      <c r="DP100" s="99"/>
      <c r="DQ100" s="99"/>
    </row>
    <row r="101" ht="12.0" customHeight="1">
      <c r="A101" s="6"/>
      <c r="B101" s="99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  <c r="CJ101" s="99"/>
      <c r="CK101" s="99"/>
      <c r="CL101" s="99"/>
      <c r="CM101" s="99"/>
      <c r="CN101" s="99"/>
      <c r="CO101" s="99"/>
      <c r="CP101" s="99"/>
      <c r="CQ101" s="99"/>
      <c r="CR101" s="99"/>
      <c r="CS101" s="99"/>
      <c r="CT101" s="99"/>
      <c r="CU101" s="99"/>
      <c r="CV101" s="99"/>
      <c r="CW101" s="99"/>
      <c r="CX101" s="99"/>
      <c r="CY101" s="99"/>
      <c r="CZ101" s="99"/>
      <c r="DA101" s="99"/>
      <c r="DB101" s="99"/>
      <c r="DC101" s="99"/>
      <c r="DD101" s="99"/>
      <c r="DE101" s="99"/>
      <c r="DF101" s="99"/>
      <c r="DG101" s="99"/>
      <c r="DH101" s="99"/>
      <c r="DI101" s="99"/>
      <c r="DJ101" s="139"/>
      <c r="DK101" s="99"/>
      <c r="DL101" s="99"/>
      <c r="DM101" s="99"/>
      <c r="DN101" s="99"/>
      <c r="DO101" s="99"/>
      <c r="DP101" s="99"/>
      <c r="DQ101" s="99"/>
    </row>
    <row r="102" ht="12.0" customHeight="1">
      <c r="A102" s="6"/>
      <c r="B102" s="99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  <c r="CJ102" s="99"/>
      <c r="CK102" s="99"/>
      <c r="CL102" s="99"/>
      <c r="CM102" s="99"/>
      <c r="CN102" s="99"/>
      <c r="CO102" s="99"/>
      <c r="CP102" s="99"/>
      <c r="CQ102" s="99"/>
      <c r="CR102" s="99"/>
      <c r="CS102" s="99"/>
      <c r="CT102" s="99"/>
      <c r="CU102" s="99"/>
      <c r="CV102" s="99"/>
      <c r="CW102" s="99"/>
      <c r="CX102" s="99"/>
      <c r="CY102" s="99"/>
      <c r="CZ102" s="99"/>
      <c r="DA102" s="99"/>
      <c r="DB102" s="99"/>
      <c r="DC102" s="99"/>
      <c r="DD102" s="99"/>
      <c r="DE102" s="99"/>
      <c r="DF102" s="99"/>
      <c r="DG102" s="99"/>
      <c r="DH102" s="99"/>
      <c r="DI102" s="99"/>
      <c r="DJ102" s="139"/>
      <c r="DK102" s="99"/>
      <c r="DL102" s="99"/>
      <c r="DM102" s="99"/>
      <c r="DN102" s="99"/>
      <c r="DO102" s="99"/>
      <c r="DP102" s="99"/>
      <c r="DQ102" s="99"/>
    </row>
    <row r="103" ht="12.0" customHeight="1">
      <c r="A103" s="6"/>
      <c r="B103" s="99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  <c r="CV103" s="99"/>
      <c r="CW103" s="99"/>
      <c r="CX103" s="99"/>
      <c r="CY103" s="99"/>
      <c r="CZ103" s="99"/>
      <c r="DA103" s="99"/>
      <c r="DB103" s="99"/>
      <c r="DC103" s="99"/>
      <c r="DD103" s="99"/>
      <c r="DE103" s="99"/>
      <c r="DF103" s="99"/>
      <c r="DG103" s="99"/>
      <c r="DH103" s="99"/>
      <c r="DI103" s="99"/>
      <c r="DJ103" s="139"/>
      <c r="DK103" s="99"/>
      <c r="DL103" s="99"/>
      <c r="DM103" s="99"/>
      <c r="DN103" s="99"/>
      <c r="DO103" s="99"/>
      <c r="DP103" s="99"/>
      <c r="DQ103" s="99"/>
    </row>
    <row r="104" ht="12.0" customHeight="1">
      <c r="A104" s="6"/>
      <c r="B104" s="99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/>
      <c r="CR104" s="99"/>
      <c r="CS104" s="99"/>
      <c r="CT104" s="99"/>
      <c r="CU104" s="99"/>
      <c r="CV104" s="99"/>
      <c r="CW104" s="99"/>
      <c r="CX104" s="99"/>
      <c r="CY104" s="99"/>
      <c r="CZ104" s="99"/>
      <c r="DA104" s="99"/>
      <c r="DB104" s="99"/>
      <c r="DC104" s="99"/>
      <c r="DD104" s="99"/>
      <c r="DE104" s="99"/>
      <c r="DF104" s="99"/>
      <c r="DG104" s="99"/>
      <c r="DH104" s="99"/>
      <c r="DI104" s="99"/>
      <c r="DJ104" s="139"/>
      <c r="DK104" s="99"/>
      <c r="DL104" s="99"/>
      <c r="DM104" s="99"/>
      <c r="DN104" s="99"/>
      <c r="DO104" s="99"/>
      <c r="DP104" s="99"/>
      <c r="DQ104" s="99"/>
    </row>
    <row r="105" ht="12.0" customHeight="1">
      <c r="A105" s="6"/>
      <c r="B105" s="99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  <c r="CJ105" s="99"/>
      <c r="CK105" s="99"/>
      <c r="CL105" s="99"/>
      <c r="CM105" s="99"/>
      <c r="CN105" s="99"/>
      <c r="CO105" s="99"/>
      <c r="CP105" s="99"/>
      <c r="CQ105" s="99"/>
      <c r="CR105" s="99"/>
      <c r="CS105" s="99"/>
      <c r="CT105" s="99"/>
      <c r="CU105" s="99"/>
      <c r="CV105" s="99"/>
      <c r="CW105" s="99"/>
      <c r="CX105" s="99"/>
      <c r="CY105" s="99"/>
      <c r="CZ105" s="99"/>
      <c r="DA105" s="99"/>
      <c r="DB105" s="99"/>
      <c r="DC105" s="99"/>
      <c r="DD105" s="99"/>
      <c r="DE105" s="99"/>
      <c r="DF105" s="99"/>
      <c r="DG105" s="99"/>
      <c r="DH105" s="99"/>
      <c r="DI105" s="99"/>
      <c r="DJ105" s="139"/>
      <c r="DK105" s="99"/>
      <c r="DL105" s="99"/>
      <c r="DM105" s="99"/>
      <c r="DN105" s="99"/>
      <c r="DO105" s="99"/>
      <c r="DP105" s="99"/>
      <c r="DQ105" s="99"/>
    </row>
    <row r="106" ht="12.0" customHeight="1">
      <c r="A106" s="6"/>
      <c r="B106" s="99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  <c r="CJ106" s="99"/>
      <c r="CK106" s="99"/>
      <c r="CL106" s="99"/>
      <c r="CM106" s="99"/>
      <c r="CN106" s="99"/>
      <c r="CO106" s="99"/>
      <c r="CP106" s="99"/>
      <c r="CQ106" s="99"/>
      <c r="CR106" s="99"/>
      <c r="CS106" s="99"/>
      <c r="CT106" s="99"/>
      <c r="CU106" s="99"/>
      <c r="CV106" s="99"/>
      <c r="CW106" s="99"/>
      <c r="CX106" s="99"/>
      <c r="CY106" s="99"/>
      <c r="CZ106" s="99"/>
      <c r="DA106" s="99"/>
      <c r="DB106" s="99"/>
      <c r="DC106" s="99"/>
      <c r="DD106" s="99"/>
      <c r="DE106" s="99"/>
      <c r="DF106" s="99"/>
      <c r="DG106" s="99"/>
      <c r="DH106" s="99"/>
      <c r="DI106" s="99"/>
      <c r="DJ106" s="139"/>
      <c r="DK106" s="99"/>
      <c r="DL106" s="99"/>
      <c r="DM106" s="99"/>
      <c r="DN106" s="99"/>
      <c r="DO106" s="99"/>
      <c r="DP106" s="99"/>
      <c r="DQ106" s="99"/>
    </row>
    <row r="107" ht="12.0" customHeight="1">
      <c r="A107" s="6"/>
      <c r="B107" s="99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99"/>
      <c r="CX107" s="99"/>
      <c r="CY107" s="99"/>
      <c r="CZ107" s="99"/>
      <c r="DA107" s="99"/>
      <c r="DB107" s="99"/>
      <c r="DC107" s="99"/>
      <c r="DD107" s="99"/>
      <c r="DE107" s="99"/>
      <c r="DF107" s="99"/>
      <c r="DG107" s="99"/>
      <c r="DH107" s="99"/>
      <c r="DI107" s="99"/>
      <c r="DJ107" s="139"/>
      <c r="DK107" s="99"/>
      <c r="DL107" s="99"/>
      <c r="DM107" s="99"/>
      <c r="DN107" s="99"/>
      <c r="DO107" s="99"/>
      <c r="DP107" s="99"/>
      <c r="DQ107" s="99"/>
    </row>
    <row r="108" ht="12.0" customHeight="1">
      <c r="A108" s="6"/>
      <c r="B108" s="99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  <c r="CJ108" s="99"/>
      <c r="CK108" s="99"/>
      <c r="CL108" s="99"/>
      <c r="CM108" s="99"/>
      <c r="CN108" s="99"/>
      <c r="CO108" s="99"/>
      <c r="CP108" s="99"/>
      <c r="CQ108" s="99"/>
      <c r="CR108" s="99"/>
      <c r="CS108" s="99"/>
      <c r="CT108" s="99"/>
      <c r="CU108" s="99"/>
      <c r="CV108" s="99"/>
      <c r="CW108" s="99"/>
      <c r="CX108" s="99"/>
      <c r="CY108" s="99"/>
      <c r="CZ108" s="99"/>
      <c r="DA108" s="99"/>
      <c r="DB108" s="99"/>
      <c r="DC108" s="99"/>
      <c r="DD108" s="99"/>
      <c r="DE108" s="99"/>
      <c r="DF108" s="99"/>
      <c r="DG108" s="99"/>
      <c r="DH108" s="99"/>
      <c r="DI108" s="99"/>
      <c r="DJ108" s="139"/>
      <c r="DK108" s="99"/>
      <c r="DL108" s="99"/>
      <c r="DM108" s="99"/>
      <c r="DN108" s="99"/>
      <c r="DO108" s="99"/>
      <c r="DP108" s="99"/>
      <c r="DQ108" s="99"/>
    </row>
    <row r="109" ht="12.0" customHeight="1">
      <c r="A109" s="6"/>
      <c r="B109" s="99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  <c r="CW109" s="99"/>
      <c r="CX109" s="99"/>
      <c r="CY109" s="99"/>
      <c r="CZ109" s="99"/>
      <c r="DA109" s="99"/>
      <c r="DB109" s="99"/>
      <c r="DC109" s="99"/>
      <c r="DD109" s="99"/>
      <c r="DE109" s="99"/>
      <c r="DF109" s="99"/>
      <c r="DG109" s="99"/>
      <c r="DH109" s="99"/>
      <c r="DI109" s="99"/>
      <c r="DJ109" s="139"/>
      <c r="DK109" s="99"/>
      <c r="DL109" s="99"/>
      <c r="DM109" s="99"/>
      <c r="DN109" s="99"/>
      <c r="DO109" s="99"/>
      <c r="DP109" s="99"/>
      <c r="DQ109" s="99"/>
    </row>
    <row r="110" ht="12.0" customHeight="1">
      <c r="A110" s="6"/>
      <c r="B110" s="99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  <c r="CV110" s="99"/>
      <c r="CW110" s="99"/>
      <c r="CX110" s="99"/>
      <c r="CY110" s="99"/>
      <c r="CZ110" s="99"/>
      <c r="DA110" s="99"/>
      <c r="DB110" s="99"/>
      <c r="DC110" s="99"/>
      <c r="DD110" s="99"/>
      <c r="DE110" s="99"/>
      <c r="DF110" s="99"/>
      <c r="DG110" s="99"/>
      <c r="DH110" s="99"/>
      <c r="DI110" s="99"/>
      <c r="DJ110" s="139"/>
      <c r="DK110" s="99"/>
      <c r="DL110" s="99"/>
      <c r="DM110" s="99"/>
      <c r="DN110" s="99"/>
      <c r="DO110" s="99"/>
      <c r="DP110" s="99"/>
      <c r="DQ110" s="99"/>
    </row>
    <row r="111" ht="12.0" customHeight="1">
      <c r="A111" s="6"/>
      <c r="B111" s="99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  <c r="CJ111" s="99"/>
      <c r="CK111" s="99"/>
      <c r="CL111" s="99"/>
      <c r="CM111" s="99"/>
      <c r="CN111" s="99"/>
      <c r="CO111" s="99"/>
      <c r="CP111" s="99"/>
      <c r="CQ111" s="99"/>
      <c r="CR111" s="99"/>
      <c r="CS111" s="99"/>
      <c r="CT111" s="99"/>
      <c r="CU111" s="99"/>
      <c r="CV111" s="99"/>
      <c r="CW111" s="99"/>
      <c r="CX111" s="99"/>
      <c r="CY111" s="99"/>
      <c r="CZ111" s="99"/>
      <c r="DA111" s="99"/>
      <c r="DB111" s="99"/>
      <c r="DC111" s="99"/>
      <c r="DD111" s="99"/>
      <c r="DE111" s="99"/>
      <c r="DF111" s="99"/>
      <c r="DG111" s="99"/>
      <c r="DH111" s="99"/>
      <c r="DI111" s="99"/>
      <c r="DJ111" s="139"/>
      <c r="DK111" s="99"/>
      <c r="DL111" s="99"/>
      <c r="DM111" s="99"/>
      <c r="DN111" s="99"/>
      <c r="DO111" s="99"/>
      <c r="DP111" s="99"/>
      <c r="DQ111" s="99"/>
    </row>
    <row r="112" ht="12.0" customHeight="1">
      <c r="A112" s="6"/>
      <c r="B112" s="99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  <c r="CW112" s="99"/>
      <c r="CX112" s="99"/>
      <c r="CY112" s="99"/>
      <c r="CZ112" s="99"/>
      <c r="DA112" s="99"/>
      <c r="DB112" s="99"/>
      <c r="DC112" s="99"/>
      <c r="DD112" s="99"/>
      <c r="DE112" s="99"/>
      <c r="DF112" s="99"/>
      <c r="DG112" s="99"/>
      <c r="DH112" s="99"/>
      <c r="DI112" s="99"/>
      <c r="DJ112" s="139"/>
      <c r="DK112" s="99"/>
      <c r="DL112" s="99"/>
      <c r="DM112" s="99"/>
      <c r="DN112" s="99"/>
      <c r="DO112" s="99"/>
      <c r="DP112" s="99"/>
      <c r="DQ112" s="99"/>
    </row>
    <row r="113" ht="12.0" customHeight="1">
      <c r="A113" s="6"/>
      <c r="B113" s="99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99"/>
      <c r="CX113" s="99"/>
      <c r="CY113" s="99"/>
      <c r="CZ113" s="99"/>
      <c r="DA113" s="99"/>
      <c r="DB113" s="99"/>
      <c r="DC113" s="99"/>
      <c r="DD113" s="99"/>
      <c r="DE113" s="99"/>
      <c r="DF113" s="99"/>
      <c r="DG113" s="99"/>
      <c r="DH113" s="99"/>
      <c r="DI113" s="99"/>
      <c r="DJ113" s="139"/>
      <c r="DK113" s="99"/>
      <c r="DL113" s="99"/>
      <c r="DM113" s="99"/>
      <c r="DN113" s="99"/>
      <c r="DO113" s="99"/>
      <c r="DP113" s="99"/>
      <c r="DQ113" s="99"/>
    </row>
    <row r="114" ht="12.0" customHeight="1">
      <c r="A114" s="6"/>
      <c r="B114" s="99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  <c r="CJ114" s="99"/>
      <c r="CK114" s="99"/>
      <c r="CL114" s="99"/>
      <c r="CM114" s="99"/>
      <c r="CN114" s="99"/>
      <c r="CO114" s="99"/>
      <c r="CP114" s="99"/>
      <c r="CQ114" s="99"/>
      <c r="CR114" s="99"/>
      <c r="CS114" s="99"/>
      <c r="CT114" s="99"/>
      <c r="CU114" s="99"/>
      <c r="CV114" s="99"/>
      <c r="CW114" s="99"/>
      <c r="CX114" s="99"/>
      <c r="CY114" s="99"/>
      <c r="CZ114" s="99"/>
      <c r="DA114" s="99"/>
      <c r="DB114" s="99"/>
      <c r="DC114" s="99"/>
      <c r="DD114" s="99"/>
      <c r="DE114" s="99"/>
      <c r="DF114" s="99"/>
      <c r="DG114" s="99"/>
      <c r="DH114" s="99"/>
      <c r="DI114" s="99"/>
      <c r="DJ114" s="139"/>
      <c r="DK114" s="99"/>
      <c r="DL114" s="99"/>
      <c r="DM114" s="99"/>
      <c r="DN114" s="99"/>
      <c r="DO114" s="99"/>
      <c r="DP114" s="99"/>
      <c r="DQ114" s="99"/>
    </row>
    <row r="115" ht="12.0" customHeight="1">
      <c r="A115" s="6"/>
      <c r="B115" s="99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139"/>
      <c r="DK115" s="99"/>
      <c r="DL115" s="99"/>
      <c r="DM115" s="99"/>
      <c r="DN115" s="99"/>
      <c r="DO115" s="99"/>
      <c r="DP115" s="99"/>
      <c r="DQ115" s="99"/>
    </row>
    <row r="116" ht="12.0" customHeight="1">
      <c r="A116" s="6"/>
      <c r="B116" s="99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  <c r="CJ116" s="99"/>
      <c r="CK116" s="99"/>
      <c r="CL116" s="99"/>
      <c r="CM116" s="99"/>
      <c r="CN116" s="99"/>
      <c r="CO116" s="99"/>
      <c r="CP116" s="99"/>
      <c r="CQ116" s="99"/>
      <c r="CR116" s="99"/>
      <c r="CS116" s="99"/>
      <c r="CT116" s="99"/>
      <c r="CU116" s="99"/>
      <c r="CV116" s="99"/>
      <c r="CW116" s="99"/>
      <c r="CX116" s="99"/>
      <c r="CY116" s="99"/>
      <c r="CZ116" s="99"/>
      <c r="DA116" s="99"/>
      <c r="DB116" s="99"/>
      <c r="DC116" s="99"/>
      <c r="DD116" s="99"/>
      <c r="DE116" s="99"/>
      <c r="DF116" s="99"/>
      <c r="DG116" s="99"/>
      <c r="DH116" s="99"/>
      <c r="DI116" s="99"/>
      <c r="DJ116" s="139"/>
      <c r="DK116" s="99"/>
      <c r="DL116" s="99"/>
      <c r="DM116" s="99"/>
      <c r="DN116" s="99"/>
      <c r="DO116" s="99"/>
      <c r="DP116" s="99"/>
      <c r="DQ116" s="99"/>
    </row>
    <row r="117" ht="12.0" customHeight="1">
      <c r="A117" s="6"/>
      <c r="B117" s="99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99"/>
      <c r="CX117" s="99"/>
      <c r="CY117" s="99"/>
      <c r="CZ117" s="99"/>
      <c r="DA117" s="99"/>
      <c r="DB117" s="99"/>
      <c r="DC117" s="99"/>
      <c r="DD117" s="99"/>
      <c r="DE117" s="99"/>
      <c r="DF117" s="99"/>
      <c r="DG117" s="99"/>
      <c r="DH117" s="99"/>
      <c r="DI117" s="99"/>
      <c r="DJ117" s="139"/>
      <c r="DK117" s="99"/>
      <c r="DL117" s="99"/>
      <c r="DM117" s="99"/>
      <c r="DN117" s="99"/>
      <c r="DO117" s="99"/>
      <c r="DP117" s="99"/>
      <c r="DQ117" s="99"/>
    </row>
    <row r="118" ht="12.0" customHeight="1">
      <c r="A118" s="6"/>
      <c r="B118" s="99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  <c r="CJ118" s="99"/>
      <c r="CK118" s="99"/>
      <c r="CL118" s="99"/>
      <c r="CM118" s="99"/>
      <c r="CN118" s="99"/>
      <c r="CO118" s="99"/>
      <c r="CP118" s="99"/>
      <c r="CQ118" s="99"/>
      <c r="CR118" s="99"/>
      <c r="CS118" s="99"/>
      <c r="CT118" s="99"/>
      <c r="CU118" s="99"/>
      <c r="CV118" s="99"/>
      <c r="CW118" s="99"/>
      <c r="CX118" s="99"/>
      <c r="CY118" s="99"/>
      <c r="CZ118" s="99"/>
      <c r="DA118" s="99"/>
      <c r="DB118" s="99"/>
      <c r="DC118" s="99"/>
      <c r="DD118" s="99"/>
      <c r="DE118" s="99"/>
      <c r="DF118" s="99"/>
      <c r="DG118" s="99"/>
      <c r="DH118" s="99"/>
      <c r="DI118" s="99"/>
      <c r="DJ118" s="139"/>
      <c r="DK118" s="99"/>
      <c r="DL118" s="99"/>
      <c r="DM118" s="99"/>
      <c r="DN118" s="99"/>
      <c r="DO118" s="99"/>
      <c r="DP118" s="99"/>
      <c r="DQ118" s="99"/>
    </row>
    <row r="119" ht="12.0" customHeight="1">
      <c r="A119" s="6"/>
      <c r="B119" s="99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  <c r="CJ119" s="99"/>
      <c r="CK119" s="99"/>
      <c r="CL119" s="99"/>
      <c r="CM119" s="99"/>
      <c r="CN119" s="99"/>
      <c r="CO119" s="99"/>
      <c r="CP119" s="99"/>
      <c r="CQ119" s="99"/>
      <c r="CR119" s="99"/>
      <c r="CS119" s="99"/>
      <c r="CT119" s="99"/>
      <c r="CU119" s="99"/>
      <c r="CV119" s="99"/>
      <c r="CW119" s="99"/>
      <c r="CX119" s="99"/>
      <c r="CY119" s="99"/>
      <c r="CZ119" s="99"/>
      <c r="DA119" s="99"/>
      <c r="DB119" s="99"/>
      <c r="DC119" s="99"/>
      <c r="DD119" s="99"/>
      <c r="DE119" s="99"/>
      <c r="DF119" s="99"/>
      <c r="DG119" s="99"/>
      <c r="DH119" s="99"/>
      <c r="DI119" s="99"/>
      <c r="DJ119" s="139"/>
      <c r="DK119" s="99"/>
      <c r="DL119" s="99"/>
      <c r="DM119" s="99"/>
      <c r="DN119" s="99"/>
      <c r="DO119" s="99"/>
      <c r="DP119" s="99"/>
      <c r="DQ119" s="99"/>
    </row>
    <row r="120" ht="12.0" customHeight="1">
      <c r="A120" s="6"/>
      <c r="B120" s="9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  <c r="CJ120" s="99"/>
      <c r="CK120" s="99"/>
      <c r="CL120" s="99"/>
      <c r="CM120" s="99"/>
      <c r="CN120" s="99"/>
      <c r="CO120" s="99"/>
      <c r="CP120" s="99"/>
      <c r="CQ120" s="99"/>
      <c r="CR120" s="99"/>
      <c r="CS120" s="99"/>
      <c r="CT120" s="99"/>
      <c r="CU120" s="99"/>
      <c r="CV120" s="99"/>
      <c r="CW120" s="99"/>
      <c r="CX120" s="99"/>
      <c r="CY120" s="99"/>
      <c r="CZ120" s="99"/>
      <c r="DA120" s="99"/>
      <c r="DB120" s="99"/>
      <c r="DC120" s="99"/>
      <c r="DD120" s="99"/>
      <c r="DE120" s="99"/>
      <c r="DF120" s="99"/>
      <c r="DG120" s="99"/>
      <c r="DH120" s="99"/>
      <c r="DI120" s="99"/>
      <c r="DJ120" s="139"/>
      <c r="DK120" s="99"/>
      <c r="DL120" s="99"/>
      <c r="DM120" s="99"/>
      <c r="DN120" s="99"/>
      <c r="DO120" s="99"/>
      <c r="DP120" s="99"/>
      <c r="DQ120" s="99"/>
    </row>
    <row r="121" ht="12.0" customHeight="1">
      <c r="A121" s="6"/>
      <c r="B121" s="99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  <c r="CJ121" s="99"/>
      <c r="CK121" s="99"/>
      <c r="CL121" s="99"/>
      <c r="CM121" s="99"/>
      <c r="CN121" s="99"/>
      <c r="CO121" s="99"/>
      <c r="CP121" s="99"/>
      <c r="CQ121" s="99"/>
      <c r="CR121" s="99"/>
      <c r="CS121" s="99"/>
      <c r="CT121" s="99"/>
      <c r="CU121" s="99"/>
      <c r="CV121" s="99"/>
      <c r="CW121" s="99"/>
      <c r="CX121" s="99"/>
      <c r="CY121" s="99"/>
      <c r="CZ121" s="99"/>
      <c r="DA121" s="99"/>
      <c r="DB121" s="99"/>
      <c r="DC121" s="99"/>
      <c r="DD121" s="99"/>
      <c r="DE121" s="99"/>
      <c r="DF121" s="99"/>
      <c r="DG121" s="99"/>
      <c r="DH121" s="99"/>
      <c r="DI121" s="99"/>
      <c r="DJ121" s="139"/>
      <c r="DK121" s="99"/>
      <c r="DL121" s="99"/>
      <c r="DM121" s="99"/>
      <c r="DN121" s="99"/>
      <c r="DO121" s="99"/>
      <c r="DP121" s="99"/>
      <c r="DQ121" s="99"/>
    </row>
    <row r="122" ht="12.0" customHeight="1">
      <c r="A122" s="6"/>
      <c r="B122" s="99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  <c r="CV122" s="99"/>
      <c r="CW122" s="99"/>
      <c r="CX122" s="99"/>
      <c r="CY122" s="99"/>
      <c r="CZ122" s="99"/>
      <c r="DA122" s="99"/>
      <c r="DB122" s="99"/>
      <c r="DC122" s="99"/>
      <c r="DD122" s="99"/>
      <c r="DE122" s="99"/>
      <c r="DF122" s="99"/>
      <c r="DG122" s="99"/>
      <c r="DH122" s="99"/>
      <c r="DI122" s="99"/>
      <c r="DJ122" s="139"/>
      <c r="DK122" s="99"/>
      <c r="DL122" s="99"/>
      <c r="DM122" s="99"/>
      <c r="DN122" s="99"/>
      <c r="DO122" s="99"/>
      <c r="DP122" s="99"/>
      <c r="DQ122" s="99"/>
    </row>
    <row r="123" ht="12.0" customHeight="1">
      <c r="A123" s="6"/>
      <c r="B123" s="99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139"/>
      <c r="DK123" s="99"/>
      <c r="DL123" s="99"/>
      <c r="DM123" s="99"/>
      <c r="DN123" s="99"/>
      <c r="DO123" s="99"/>
      <c r="DP123" s="99"/>
      <c r="DQ123" s="99"/>
    </row>
    <row r="124" ht="12.0" customHeight="1">
      <c r="A124" s="6"/>
      <c r="B124" s="99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139"/>
      <c r="DK124" s="99"/>
      <c r="DL124" s="99"/>
      <c r="DM124" s="99"/>
      <c r="DN124" s="99"/>
      <c r="DO124" s="99"/>
      <c r="DP124" s="99"/>
      <c r="DQ124" s="99"/>
    </row>
    <row r="125" ht="12.0" customHeight="1">
      <c r="A125" s="6"/>
      <c r="B125" s="99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  <c r="CJ125" s="99"/>
      <c r="CK125" s="99"/>
      <c r="CL125" s="99"/>
      <c r="CM125" s="99"/>
      <c r="CN125" s="99"/>
      <c r="CO125" s="99"/>
      <c r="CP125" s="99"/>
      <c r="CQ125" s="99"/>
      <c r="CR125" s="99"/>
      <c r="CS125" s="99"/>
      <c r="CT125" s="99"/>
      <c r="CU125" s="99"/>
      <c r="CV125" s="99"/>
      <c r="CW125" s="99"/>
      <c r="CX125" s="99"/>
      <c r="CY125" s="99"/>
      <c r="CZ125" s="99"/>
      <c r="DA125" s="99"/>
      <c r="DB125" s="99"/>
      <c r="DC125" s="99"/>
      <c r="DD125" s="99"/>
      <c r="DE125" s="99"/>
      <c r="DF125" s="99"/>
      <c r="DG125" s="99"/>
      <c r="DH125" s="99"/>
      <c r="DI125" s="99"/>
      <c r="DJ125" s="139"/>
      <c r="DK125" s="99"/>
      <c r="DL125" s="99"/>
      <c r="DM125" s="99"/>
      <c r="DN125" s="99"/>
      <c r="DO125" s="99"/>
      <c r="DP125" s="99"/>
      <c r="DQ125" s="99"/>
    </row>
    <row r="126" ht="12.0" customHeight="1">
      <c r="A126" s="6"/>
      <c r="B126" s="99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  <c r="CJ126" s="99"/>
      <c r="CK126" s="99"/>
      <c r="CL126" s="99"/>
      <c r="CM126" s="99"/>
      <c r="CN126" s="99"/>
      <c r="CO126" s="99"/>
      <c r="CP126" s="99"/>
      <c r="CQ126" s="99"/>
      <c r="CR126" s="99"/>
      <c r="CS126" s="99"/>
      <c r="CT126" s="99"/>
      <c r="CU126" s="99"/>
      <c r="CV126" s="99"/>
      <c r="CW126" s="99"/>
      <c r="CX126" s="99"/>
      <c r="CY126" s="99"/>
      <c r="CZ126" s="99"/>
      <c r="DA126" s="99"/>
      <c r="DB126" s="99"/>
      <c r="DC126" s="99"/>
      <c r="DD126" s="99"/>
      <c r="DE126" s="99"/>
      <c r="DF126" s="99"/>
      <c r="DG126" s="99"/>
      <c r="DH126" s="99"/>
      <c r="DI126" s="99"/>
      <c r="DJ126" s="139"/>
      <c r="DK126" s="99"/>
      <c r="DL126" s="99"/>
      <c r="DM126" s="99"/>
      <c r="DN126" s="99"/>
      <c r="DO126" s="99"/>
      <c r="DP126" s="99"/>
      <c r="DQ126" s="99"/>
    </row>
    <row r="127" ht="12.0" customHeight="1">
      <c r="A127" s="6"/>
      <c r="B127" s="99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9"/>
      <c r="CQ127" s="99"/>
      <c r="CR127" s="99"/>
      <c r="CS127" s="99"/>
      <c r="CT127" s="99"/>
      <c r="CU127" s="99"/>
      <c r="CV127" s="99"/>
      <c r="CW127" s="99"/>
      <c r="CX127" s="99"/>
      <c r="CY127" s="99"/>
      <c r="CZ127" s="99"/>
      <c r="DA127" s="99"/>
      <c r="DB127" s="99"/>
      <c r="DC127" s="99"/>
      <c r="DD127" s="99"/>
      <c r="DE127" s="99"/>
      <c r="DF127" s="99"/>
      <c r="DG127" s="99"/>
      <c r="DH127" s="99"/>
      <c r="DI127" s="99"/>
      <c r="DJ127" s="139"/>
      <c r="DK127" s="99"/>
      <c r="DL127" s="99"/>
      <c r="DM127" s="99"/>
      <c r="DN127" s="99"/>
      <c r="DO127" s="99"/>
      <c r="DP127" s="99"/>
      <c r="DQ127" s="99"/>
    </row>
    <row r="128" ht="12.0" customHeight="1">
      <c r="A128" s="6"/>
      <c r="B128" s="99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  <c r="CV128" s="99"/>
      <c r="CW128" s="99"/>
      <c r="CX128" s="99"/>
      <c r="CY128" s="99"/>
      <c r="CZ128" s="99"/>
      <c r="DA128" s="99"/>
      <c r="DB128" s="99"/>
      <c r="DC128" s="99"/>
      <c r="DD128" s="99"/>
      <c r="DE128" s="99"/>
      <c r="DF128" s="99"/>
      <c r="DG128" s="99"/>
      <c r="DH128" s="99"/>
      <c r="DI128" s="99"/>
      <c r="DJ128" s="139"/>
      <c r="DK128" s="99"/>
      <c r="DL128" s="99"/>
      <c r="DM128" s="99"/>
      <c r="DN128" s="99"/>
      <c r="DO128" s="99"/>
      <c r="DP128" s="99"/>
      <c r="DQ128" s="99"/>
    </row>
    <row r="129" ht="12.0" customHeight="1">
      <c r="A129" s="6"/>
      <c r="B129" s="99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99"/>
      <c r="CR129" s="99"/>
      <c r="CS129" s="99"/>
      <c r="CT129" s="99"/>
      <c r="CU129" s="99"/>
      <c r="CV129" s="99"/>
      <c r="CW129" s="99"/>
      <c r="CX129" s="99"/>
      <c r="CY129" s="99"/>
      <c r="CZ129" s="99"/>
      <c r="DA129" s="99"/>
      <c r="DB129" s="99"/>
      <c r="DC129" s="99"/>
      <c r="DD129" s="99"/>
      <c r="DE129" s="99"/>
      <c r="DF129" s="99"/>
      <c r="DG129" s="99"/>
      <c r="DH129" s="99"/>
      <c r="DI129" s="99"/>
      <c r="DJ129" s="139"/>
      <c r="DK129" s="99"/>
      <c r="DL129" s="99"/>
      <c r="DM129" s="99"/>
      <c r="DN129" s="99"/>
      <c r="DO129" s="99"/>
      <c r="DP129" s="99"/>
      <c r="DQ129" s="99"/>
    </row>
    <row r="130" ht="12.0" customHeight="1">
      <c r="A130" s="6"/>
      <c r="B130" s="99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99"/>
      <c r="CR130" s="99"/>
      <c r="CS130" s="99"/>
      <c r="CT130" s="99"/>
      <c r="CU130" s="99"/>
      <c r="CV130" s="99"/>
      <c r="CW130" s="99"/>
      <c r="CX130" s="99"/>
      <c r="CY130" s="99"/>
      <c r="CZ130" s="99"/>
      <c r="DA130" s="99"/>
      <c r="DB130" s="99"/>
      <c r="DC130" s="99"/>
      <c r="DD130" s="99"/>
      <c r="DE130" s="99"/>
      <c r="DF130" s="99"/>
      <c r="DG130" s="99"/>
      <c r="DH130" s="99"/>
      <c r="DI130" s="99"/>
      <c r="DJ130" s="139"/>
      <c r="DK130" s="99"/>
      <c r="DL130" s="99"/>
      <c r="DM130" s="99"/>
      <c r="DN130" s="99"/>
      <c r="DO130" s="99"/>
      <c r="DP130" s="99"/>
      <c r="DQ130" s="99"/>
    </row>
    <row r="131" ht="12.0" customHeight="1">
      <c r="A131" s="6"/>
      <c r="B131" s="99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  <c r="CV131" s="99"/>
      <c r="CW131" s="99"/>
      <c r="CX131" s="99"/>
      <c r="CY131" s="99"/>
      <c r="CZ131" s="99"/>
      <c r="DA131" s="99"/>
      <c r="DB131" s="99"/>
      <c r="DC131" s="99"/>
      <c r="DD131" s="99"/>
      <c r="DE131" s="99"/>
      <c r="DF131" s="99"/>
      <c r="DG131" s="99"/>
      <c r="DH131" s="99"/>
      <c r="DI131" s="99"/>
      <c r="DJ131" s="139"/>
      <c r="DK131" s="99"/>
      <c r="DL131" s="99"/>
      <c r="DM131" s="99"/>
      <c r="DN131" s="99"/>
      <c r="DO131" s="99"/>
      <c r="DP131" s="99"/>
      <c r="DQ131" s="99"/>
    </row>
    <row r="132" ht="12.0" customHeight="1">
      <c r="A132" s="6"/>
      <c r="B132" s="99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  <c r="CM132" s="99"/>
      <c r="CN132" s="99"/>
      <c r="CO132" s="99"/>
      <c r="CP132" s="99"/>
      <c r="CQ132" s="99"/>
      <c r="CR132" s="99"/>
      <c r="CS132" s="99"/>
      <c r="CT132" s="99"/>
      <c r="CU132" s="99"/>
      <c r="CV132" s="99"/>
      <c r="CW132" s="99"/>
      <c r="CX132" s="99"/>
      <c r="CY132" s="99"/>
      <c r="CZ132" s="99"/>
      <c r="DA132" s="99"/>
      <c r="DB132" s="99"/>
      <c r="DC132" s="99"/>
      <c r="DD132" s="99"/>
      <c r="DE132" s="99"/>
      <c r="DF132" s="99"/>
      <c r="DG132" s="99"/>
      <c r="DH132" s="99"/>
      <c r="DI132" s="99"/>
      <c r="DJ132" s="139"/>
      <c r="DK132" s="99"/>
      <c r="DL132" s="99"/>
      <c r="DM132" s="99"/>
      <c r="DN132" s="99"/>
      <c r="DO132" s="99"/>
      <c r="DP132" s="99"/>
      <c r="DQ132" s="99"/>
    </row>
    <row r="133" ht="12.0" customHeight="1">
      <c r="A133" s="6"/>
      <c r="B133" s="99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99"/>
      <c r="CZ133" s="99"/>
      <c r="DA133" s="99"/>
      <c r="DB133" s="99"/>
      <c r="DC133" s="99"/>
      <c r="DD133" s="99"/>
      <c r="DE133" s="99"/>
      <c r="DF133" s="99"/>
      <c r="DG133" s="99"/>
      <c r="DH133" s="99"/>
      <c r="DI133" s="99"/>
      <c r="DJ133" s="139"/>
      <c r="DK133" s="99"/>
      <c r="DL133" s="99"/>
      <c r="DM133" s="99"/>
      <c r="DN133" s="99"/>
      <c r="DO133" s="99"/>
      <c r="DP133" s="99"/>
      <c r="DQ133" s="99"/>
    </row>
    <row r="134" ht="12.0" customHeight="1">
      <c r="A134" s="6"/>
      <c r="B134" s="99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  <c r="CW134" s="99"/>
      <c r="CX134" s="99"/>
      <c r="CY134" s="99"/>
      <c r="CZ134" s="99"/>
      <c r="DA134" s="99"/>
      <c r="DB134" s="99"/>
      <c r="DC134" s="99"/>
      <c r="DD134" s="99"/>
      <c r="DE134" s="99"/>
      <c r="DF134" s="99"/>
      <c r="DG134" s="99"/>
      <c r="DH134" s="99"/>
      <c r="DI134" s="99"/>
      <c r="DJ134" s="139"/>
      <c r="DK134" s="99"/>
      <c r="DL134" s="99"/>
      <c r="DM134" s="99"/>
      <c r="DN134" s="99"/>
      <c r="DO134" s="99"/>
      <c r="DP134" s="99"/>
      <c r="DQ134" s="99"/>
    </row>
    <row r="135" ht="12.0" customHeight="1">
      <c r="A135" s="6"/>
      <c r="B135" s="99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  <c r="CW135" s="99"/>
      <c r="CX135" s="99"/>
      <c r="CY135" s="99"/>
      <c r="CZ135" s="99"/>
      <c r="DA135" s="99"/>
      <c r="DB135" s="99"/>
      <c r="DC135" s="99"/>
      <c r="DD135" s="99"/>
      <c r="DE135" s="99"/>
      <c r="DF135" s="99"/>
      <c r="DG135" s="99"/>
      <c r="DH135" s="99"/>
      <c r="DI135" s="99"/>
      <c r="DJ135" s="139"/>
      <c r="DK135" s="99"/>
      <c r="DL135" s="99"/>
      <c r="DM135" s="99"/>
      <c r="DN135" s="99"/>
      <c r="DO135" s="99"/>
      <c r="DP135" s="99"/>
      <c r="DQ135" s="99"/>
    </row>
    <row r="136" ht="12.0" customHeight="1">
      <c r="A136" s="6"/>
      <c r="B136" s="99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  <c r="CW136" s="99"/>
      <c r="CX136" s="99"/>
      <c r="CY136" s="99"/>
      <c r="CZ136" s="99"/>
      <c r="DA136" s="99"/>
      <c r="DB136" s="99"/>
      <c r="DC136" s="99"/>
      <c r="DD136" s="99"/>
      <c r="DE136" s="99"/>
      <c r="DF136" s="99"/>
      <c r="DG136" s="99"/>
      <c r="DH136" s="99"/>
      <c r="DI136" s="99"/>
      <c r="DJ136" s="139"/>
      <c r="DK136" s="99"/>
      <c r="DL136" s="99"/>
      <c r="DM136" s="99"/>
      <c r="DN136" s="99"/>
      <c r="DO136" s="99"/>
      <c r="DP136" s="99"/>
      <c r="DQ136" s="99"/>
    </row>
    <row r="137" ht="12.0" customHeight="1">
      <c r="A137" s="6"/>
      <c r="B137" s="99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  <c r="CW137" s="99"/>
      <c r="CX137" s="99"/>
      <c r="CY137" s="99"/>
      <c r="CZ137" s="99"/>
      <c r="DA137" s="99"/>
      <c r="DB137" s="99"/>
      <c r="DC137" s="99"/>
      <c r="DD137" s="99"/>
      <c r="DE137" s="99"/>
      <c r="DF137" s="99"/>
      <c r="DG137" s="99"/>
      <c r="DH137" s="99"/>
      <c r="DI137" s="99"/>
      <c r="DJ137" s="139"/>
      <c r="DK137" s="99"/>
      <c r="DL137" s="99"/>
      <c r="DM137" s="99"/>
      <c r="DN137" s="99"/>
      <c r="DO137" s="99"/>
      <c r="DP137" s="99"/>
      <c r="DQ137" s="99"/>
    </row>
    <row r="138" ht="12.0" customHeight="1">
      <c r="A138" s="6"/>
      <c r="B138" s="99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  <c r="CW138" s="99"/>
      <c r="CX138" s="99"/>
      <c r="CY138" s="99"/>
      <c r="CZ138" s="99"/>
      <c r="DA138" s="99"/>
      <c r="DB138" s="99"/>
      <c r="DC138" s="99"/>
      <c r="DD138" s="99"/>
      <c r="DE138" s="99"/>
      <c r="DF138" s="99"/>
      <c r="DG138" s="99"/>
      <c r="DH138" s="99"/>
      <c r="DI138" s="99"/>
      <c r="DJ138" s="139"/>
      <c r="DK138" s="99"/>
      <c r="DL138" s="99"/>
      <c r="DM138" s="99"/>
      <c r="DN138" s="99"/>
      <c r="DO138" s="99"/>
      <c r="DP138" s="99"/>
      <c r="DQ138" s="99"/>
    </row>
    <row r="139" ht="12.0" customHeight="1">
      <c r="A139" s="6"/>
      <c r="B139" s="99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139"/>
      <c r="DK139" s="99"/>
      <c r="DL139" s="99"/>
      <c r="DM139" s="99"/>
      <c r="DN139" s="99"/>
      <c r="DO139" s="99"/>
      <c r="DP139" s="99"/>
      <c r="DQ139" s="99"/>
    </row>
    <row r="140" ht="12.0" customHeight="1">
      <c r="A140" s="6"/>
      <c r="B140" s="99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  <c r="CJ140" s="99"/>
      <c r="CK140" s="99"/>
      <c r="CL140" s="99"/>
      <c r="CM140" s="99"/>
      <c r="CN140" s="99"/>
      <c r="CO140" s="99"/>
      <c r="CP140" s="99"/>
      <c r="CQ140" s="99"/>
      <c r="CR140" s="99"/>
      <c r="CS140" s="99"/>
      <c r="CT140" s="99"/>
      <c r="CU140" s="99"/>
      <c r="CV140" s="99"/>
      <c r="CW140" s="99"/>
      <c r="CX140" s="99"/>
      <c r="CY140" s="99"/>
      <c r="CZ140" s="99"/>
      <c r="DA140" s="99"/>
      <c r="DB140" s="99"/>
      <c r="DC140" s="99"/>
      <c r="DD140" s="99"/>
      <c r="DE140" s="99"/>
      <c r="DF140" s="99"/>
      <c r="DG140" s="99"/>
      <c r="DH140" s="99"/>
      <c r="DI140" s="99"/>
      <c r="DJ140" s="139"/>
      <c r="DK140" s="99"/>
      <c r="DL140" s="99"/>
      <c r="DM140" s="99"/>
      <c r="DN140" s="99"/>
      <c r="DO140" s="99"/>
      <c r="DP140" s="99"/>
      <c r="DQ140" s="99"/>
    </row>
    <row r="141" ht="12.0" customHeight="1">
      <c r="A141" s="6"/>
      <c r="B141" s="99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  <c r="CJ141" s="99"/>
      <c r="CK141" s="99"/>
      <c r="CL141" s="99"/>
      <c r="CM141" s="99"/>
      <c r="CN141" s="99"/>
      <c r="CO141" s="99"/>
      <c r="CP141" s="99"/>
      <c r="CQ141" s="99"/>
      <c r="CR141" s="99"/>
      <c r="CS141" s="99"/>
      <c r="CT141" s="99"/>
      <c r="CU141" s="99"/>
      <c r="CV141" s="99"/>
      <c r="CW141" s="99"/>
      <c r="CX141" s="99"/>
      <c r="CY141" s="99"/>
      <c r="CZ141" s="99"/>
      <c r="DA141" s="99"/>
      <c r="DB141" s="99"/>
      <c r="DC141" s="99"/>
      <c r="DD141" s="99"/>
      <c r="DE141" s="99"/>
      <c r="DF141" s="99"/>
      <c r="DG141" s="99"/>
      <c r="DH141" s="99"/>
      <c r="DI141" s="99"/>
      <c r="DJ141" s="139"/>
      <c r="DK141" s="99"/>
      <c r="DL141" s="99"/>
      <c r="DM141" s="99"/>
      <c r="DN141" s="99"/>
      <c r="DO141" s="99"/>
      <c r="DP141" s="99"/>
      <c r="DQ141" s="99"/>
    </row>
    <row r="142" ht="12.0" customHeight="1">
      <c r="A142" s="6"/>
      <c r="B142" s="99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  <c r="CJ142" s="99"/>
      <c r="CK142" s="99"/>
      <c r="CL142" s="99"/>
      <c r="CM142" s="99"/>
      <c r="CN142" s="99"/>
      <c r="CO142" s="99"/>
      <c r="CP142" s="99"/>
      <c r="CQ142" s="99"/>
      <c r="CR142" s="99"/>
      <c r="CS142" s="99"/>
      <c r="CT142" s="99"/>
      <c r="CU142" s="99"/>
      <c r="CV142" s="99"/>
      <c r="CW142" s="99"/>
      <c r="CX142" s="99"/>
      <c r="CY142" s="99"/>
      <c r="CZ142" s="99"/>
      <c r="DA142" s="99"/>
      <c r="DB142" s="99"/>
      <c r="DC142" s="99"/>
      <c r="DD142" s="99"/>
      <c r="DE142" s="99"/>
      <c r="DF142" s="99"/>
      <c r="DG142" s="99"/>
      <c r="DH142" s="99"/>
      <c r="DI142" s="99"/>
      <c r="DJ142" s="139"/>
      <c r="DK142" s="99"/>
      <c r="DL142" s="99"/>
      <c r="DM142" s="99"/>
      <c r="DN142" s="99"/>
      <c r="DO142" s="99"/>
      <c r="DP142" s="99"/>
      <c r="DQ142" s="99"/>
    </row>
    <row r="143" ht="12.0" customHeight="1">
      <c r="A143" s="6"/>
      <c r="B143" s="99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  <c r="CJ143" s="99"/>
      <c r="CK143" s="99"/>
      <c r="CL143" s="99"/>
      <c r="CM143" s="99"/>
      <c r="CN143" s="99"/>
      <c r="CO143" s="99"/>
      <c r="CP143" s="99"/>
      <c r="CQ143" s="99"/>
      <c r="CR143" s="99"/>
      <c r="CS143" s="99"/>
      <c r="CT143" s="99"/>
      <c r="CU143" s="99"/>
      <c r="CV143" s="99"/>
      <c r="CW143" s="99"/>
      <c r="CX143" s="99"/>
      <c r="CY143" s="99"/>
      <c r="CZ143" s="99"/>
      <c r="DA143" s="99"/>
      <c r="DB143" s="99"/>
      <c r="DC143" s="99"/>
      <c r="DD143" s="99"/>
      <c r="DE143" s="99"/>
      <c r="DF143" s="99"/>
      <c r="DG143" s="99"/>
      <c r="DH143" s="99"/>
      <c r="DI143" s="99"/>
      <c r="DJ143" s="139"/>
      <c r="DK143" s="99"/>
      <c r="DL143" s="99"/>
      <c r="DM143" s="99"/>
      <c r="DN143" s="99"/>
      <c r="DO143" s="99"/>
      <c r="DP143" s="99"/>
      <c r="DQ143" s="99"/>
    </row>
    <row r="144" ht="12.0" customHeight="1">
      <c r="A144" s="6"/>
      <c r="B144" s="99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  <c r="CJ144" s="99"/>
      <c r="CK144" s="99"/>
      <c r="CL144" s="99"/>
      <c r="CM144" s="99"/>
      <c r="CN144" s="99"/>
      <c r="CO144" s="99"/>
      <c r="CP144" s="99"/>
      <c r="CQ144" s="99"/>
      <c r="CR144" s="99"/>
      <c r="CS144" s="99"/>
      <c r="CT144" s="99"/>
      <c r="CU144" s="99"/>
      <c r="CV144" s="99"/>
      <c r="CW144" s="99"/>
      <c r="CX144" s="99"/>
      <c r="CY144" s="99"/>
      <c r="CZ144" s="99"/>
      <c r="DA144" s="99"/>
      <c r="DB144" s="99"/>
      <c r="DC144" s="99"/>
      <c r="DD144" s="99"/>
      <c r="DE144" s="99"/>
      <c r="DF144" s="99"/>
      <c r="DG144" s="99"/>
      <c r="DH144" s="99"/>
      <c r="DI144" s="99"/>
      <c r="DJ144" s="139"/>
      <c r="DK144" s="99"/>
      <c r="DL144" s="99"/>
      <c r="DM144" s="99"/>
      <c r="DN144" s="99"/>
      <c r="DO144" s="99"/>
      <c r="DP144" s="99"/>
      <c r="DQ144" s="99"/>
    </row>
    <row r="145" ht="12.0" customHeight="1">
      <c r="A145" s="6"/>
      <c r="B145" s="99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  <c r="CJ145" s="99"/>
      <c r="CK145" s="99"/>
      <c r="CL145" s="99"/>
      <c r="CM145" s="99"/>
      <c r="CN145" s="99"/>
      <c r="CO145" s="99"/>
      <c r="CP145" s="99"/>
      <c r="CQ145" s="99"/>
      <c r="CR145" s="99"/>
      <c r="CS145" s="99"/>
      <c r="CT145" s="99"/>
      <c r="CU145" s="99"/>
      <c r="CV145" s="99"/>
      <c r="CW145" s="99"/>
      <c r="CX145" s="99"/>
      <c r="CY145" s="99"/>
      <c r="CZ145" s="99"/>
      <c r="DA145" s="99"/>
      <c r="DB145" s="99"/>
      <c r="DC145" s="99"/>
      <c r="DD145" s="99"/>
      <c r="DE145" s="99"/>
      <c r="DF145" s="99"/>
      <c r="DG145" s="99"/>
      <c r="DH145" s="99"/>
      <c r="DI145" s="99"/>
      <c r="DJ145" s="139"/>
      <c r="DK145" s="99"/>
      <c r="DL145" s="99"/>
      <c r="DM145" s="99"/>
      <c r="DN145" s="99"/>
      <c r="DO145" s="99"/>
      <c r="DP145" s="99"/>
      <c r="DQ145" s="99"/>
    </row>
    <row r="146" ht="12.0" customHeight="1">
      <c r="A146" s="6"/>
      <c r="B146" s="99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  <c r="CJ146" s="99"/>
      <c r="CK146" s="99"/>
      <c r="CL146" s="99"/>
      <c r="CM146" s="99"/>
      <c r="CN146" s="99"/>
      <c r="CO146" s="99"/>
      <c r="CP146" s="99"/>
      <c r="CQ146" s="99"/>
      <c r="CR146" s="99"/>
      <c r="CS146" s="99"/>
      <c r="CT146" s="99"/>
      <c r="CU146" s="99"/>
      <c r="CV146" s="99"/>
      <c r="CW146" s="99"/>
      <c r="CX146" s="99"/>
      <c r="CY146" s="99"/>
      <c r="CZ146" s="99"/>
      <c r="DA146" s="99"/>
      <c r="DB146" s="99"/>
      <c r="DC146" s="99"/>
      <c r="DD146" s="99"/>
      <c r="DE146" s="99"/>
      <c r="DF146" s="99"/>
      <c r="DG146" s="99"/>
      <c r="DH146" s="99"/>
      <c r="DI146" s="99"/>
      <c r="DJ146" s="139"/>
      <c r="DK146" s="99"/>
      <c r="DL146" s="99"/>
      <c r="DM146" s="99"/>
      <c r="DN146" s="99"/>
      <c r="DO146" s="99"/>
      <c r="DP146" s="99"/>
      <c r="DQ146" s="99"/>
    </row>
    <row r="147" ht="12.0" customHeight="1">
      <c r="A147" s="6"/>
      <c r="B147" s="99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99"/>
      <c r="CD147" s="99"/>
      <c r="CE147" s="99"/>
      <c r="CF147" s="99"/>
      <c r="CG147" s="99"/>
      <c r="CH147" s="99"/>
      <c r="CI147" s="99"/>
      <c r="CJ147" s="99"/>
      <c r="CK147" s="99"/>
      <c r="CL147" s="99"/>
      <c r="CM147" s="99"/>
      <c r="CN147" s="99"/>
      <c r="CO147" s="99"/>
      <c r="CP147" s="99"/>
      <c r="CQ147" s="99"/>
      <c r="CR147" s="99"/>
      <c r="CS147" s="99"/>
      <c r="CT147" s="99"/>
      <c r="CU147" s="99"/>
      <c r="CV147" s="99"/>
      <c r="CW147" s="99"/>
      <c r="CX147" s="99"/>
      <c r="CY147" s="99"/>
      <c r="CZ147" s="99"/>
      <c r="DA147" s="99"/>
      <c r="DB147" s="99"/>
      <c r="DC147" s="99"/>
      <c r="DD147" s="99"/>
      <c r="DE147" s="99"/>
      <c r="DF147" s="99"/>
      <c r="DG147" s="99"/>
      <c r="DH147" s="99"/>
      <c r="DI147" s="99"/>
      <c r="DJ147" s="139"/>
      <c r="DK147" s="99"/>
      <c r="DL147" s="99"/>
      <c r="DM147" s="99"/>
      <c r="DN147" s="99"/>
      <c r="DO147" s="99"/>
      <c r="DP147" s="99"/>
      <c r="DQ147" s="99"/>
    </row>
    <row r="148" ht="12.0" customHeight="1">
      <c r="A148" s="6"/>
      <c r="B148" s="99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99"/>
      <c r="CD148" s="99"/>
      <c r="CE148" s="99"/>
      <c r="CF148" s="99"/>
      <c r="CG148" s="99"/>
      <c r="CH148" s="99"/>
      <c r="CI148" s="99"/>
      <c r="CJ148" s="99"/>
      <c r="CK148" s="99"/>
      <c r="CL148" s="99"/>
      <c r="CM148" s="99"/>
      <c r="CN148" s="99"/>
      <c r="CO148" s="99"/>
      <c r="CP148" s="99"/>
      <c r="CQ148" s="99"/>
      <c r="CR148" s="99"/>
      <c r="CS148" s="99"/>
      <c r="CT148" s="99"/>
      <c r="CU148" s="99"/>
      <c r="CV148" s="99"/>
      <c r="CW148" s="99"/>
      <c r="CX148" s="99"/>
      <c r="CY148" s="99"/>
      <c r="CZ148" s="99"/>
      <c r="DA148" s="99"/>
      <c r="DB148" s="99"/>
      <c r="DC148" s="99"/>
      <c r="DD148" s="99"/>
      <c r="DE148" s="99"/>
      <c r="DF148" s="99"/>
      <c r="DG148" s="99"/>
      <c r="DH148" s="99"/>
      <c r="DI148" s="99"/>
      <c r="DJ148" s="139"/>
      <c r="DK148" s="99"/>
      <c r="DL148" s="99"/>
      <c r="DM148" s="99"/>
      <c r="DN148" s="99"/>
      <c r="DO148" s="99"/>
      <c r="DP148" s="99"/>
      <c r="DQ148" s="99"/>
    </row>
    <row r="149" ht="12.0" customHeight="1">
      <c r="A149" s="6"/>
      <c r="B149" s="99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99"/>
      <c r="CD149" s="99"/>
      <c r="CE149" s="99"/>
      <c r="CF149" s="99"/>
      <c r="CG149" s="99"/>
      <c r="CH149" s="99"/>
      <c r="CI149" s="99"/>
      <c r="CJ149" s="99"/>
      <c r="CK149" s="99"/>
      <c r="CL149" s="99"/>
      <c r="CM149" s="99"/>
      <c r="CN149" s="99"/>
      <c r="CO149" s="99"/>
      <c r="CP149" s="99"/>
      <c r="CQ149" s="99"/>
      <c r="CR149" s="99"/>
      <c r="CS149" s="99"/>
      <c r="CT149" s="99"/>
      <c r="CU149" s="99"/>
      <c r="CV149" s="99"/>
      <c r="CW149" s="99"/>
      <c r="CX149" s="99"/>
      <c r="CY149" s="99"/>
      <c r="CZ149" s="99"/>
      <c r="DA149" s="99"/>
      <c r="DB149" s="99"/>
      <c r="DC149" s="99"/>
      <c r="DD149" s="99"/>
      <c r="DE149" s="99"/>
      <c r="DF149" s="99"/>
      <c r="DG149" s="99"/>
      <c r="DH149" s="99"/>
      <c r="DI149" s="99"/>
      <c r="DJ149" s="139"/>
      <c r="DK149" s="99"/>
      <c r="DL149" s="99"/>
      <c r="DM149" s="99"/>
      <c r="DN149" s="99"/>
      <c r="DO149" s="99"/>
      <c r="DP149" s="99"/>
      <c r="DQ149" s="99"/>
    </row>
    <row r="150" ht="12.0" customHeight="1">
      <c r="A150" s="6"/>
      <c r="B150" s="99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99"/>
      <c r="CD150" s="99"/>
      <c r="CE150" s="99"/>
      <c r="CF150" s="99"/>
      <c r="CG150" s="99"/>
      <c r="CH150" s="99"/>
      <c r="CI150" s="99"/>
      <c r="CJ150" s="99"/>
      <c r="CK150" s="99"/>
      <c r="CL150" s="99"/>
      <c r="CM150" s="99"/>
      <c r="CN150" s="99"/>
      <c r="CO150" s="99"/>
      <c r="CP150" s="99"/>
      <c r="CQ150" s="99"/>
      <c r="CR150" s="99"/>
      <c r="CS150" s="99"/>
      <c r="CT150" s="99"/>
      <c r="CU150" s="99"/>
      <c r="CV150" s="99"/>
      <c r="CW150" s="99"/>
      <c r="CX150" s="99"/>
      <c r="CY150" s="99"/>
      <c r="CZ150" s="99"/>
      <c r="DA150" s="99"/>
      <c r="DB150" s="99"/>
      <c r="DC150" s="99"/>
      <c r="DD150" s="99"/>
      <c r="DE150" s="99"/>
      <c r="DF150" s="99"/>
      <c r="DG150" s="99"/>
      <c r="DH150" s="99"/>
      <c r="DI150" s="99"/>
      <c r="DJ150" s="139"/>
      <c r="DK150" s="99"/>
      <c r="DL150" s="99"/>
      <c r="DM150" s="99"/>
      <c r="DN150" s="99"/>
      <c r="DO150" s="99"/>
      <c r="DP150" s="99"/>
      <c r="DQ150" s="99"/>
    </row>
    <row r="151" ht="12.0" customHeight="1">
      <c r="A151" s="6"/>
      <c r="B151" s="99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99"/>
      <c r="CD151" s="99"/>
      <c r="CE151" s="99"/>
      <c r="CF151" s="99"/>
      <c r="CG151" s="99"/>
      <c r="CH151" s="99"/>
      <c r="CI151" s="99"/>
      <c r="CJ151" s="99"/>
      <c r="CK151" s="99"/>
      <c r="CL151" s="99"/>
      <c r="CM151" s="99"/>
      <c r="CN151" s="99"/>
      <c r="CO151" s="99"/>
      <c r="CP151" s="99"/>
      <c r="CQ151" s="99"/>
      <c r="CR151" s="99"/>
      <c r="CS151" s="99"/>
      <c r="CT151" s="99"/>
      <c r="CU151" s="99"/>
      <c r="CV151" s="99"/>
      <c r="CW151" s="99"/>
      <c r="CX151" s="99"/>
      <c r="CY151" s="99"/>
      <c r="CZ151" s="99"/>
      <c r="DA151" s="99"/>
      <c r="DB151" s="99"/>
      <c r="DC151" s="99"/>
      <c r="DD151" s="99"/>
      <c r="DE151" s="99"/>
      <c r="DF151" s="99"/>
      <c r="DG151" s="99"/>
      <c r="DH151" s="99"/>
      <c r="DI151" s="99"/>
      <c r="DJ151" s="139"/>
      <c r="DK151" s="99"/>
      <c r="DL151" s="99"/>
      <c r="DM151" s="99"/>
      <c r="DN151" s="99"/>
      <c r="DO151" s="99"/>
      <c r="DP151" s="99"/>
      <c r="DQ151" s="99"/>
    </row>
    <row r="152" ht="12.0" customHeight="1">
      <c r="A152" s="6"/>
      <c r="B152" s="99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99"/>
      <c r="CX152" s="99"/>
      <c r="CY152" s="99"/>
      <c r="CZ152" s="99"/>
      <c r="DA152" s="99"/>
      <c r="DB152" s="99"/>
      <c r="DC152" s="99"/>
      <c r="DD152" s="99"/>
      <c r="DE152" s="99"/>
      <c r="DF152" s="99"/>
      <c r="DG152" s="99"/>
      <c r="DH152" s="99"/>
      <c r="DI152" s="99"/>
      <c r="DJ152" s="139"/>
      <c r="DK152" s="99"/>
      <c r="DL152" s="99"/>
      <c r="DM152" s="99"/>
      <c r="DN152" s="99"/>
      <c r="DO152" s="99"/>
      <c r="DP152" s="99"/>
      <c r="DQ152" s="99"/>
    </row>
    <row r="153" ht="12.0" customHeight="1">
      <c r="A153" s="6"/>
      <c r="B153" s="99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99"/>
      <c r="CD153" s="99"/>
      <c r="CE153" s="99"/>
      <c r="CF153" s="99"/>
      <c r="CG153" s="99"/>
      <c r="CH153" s="99"/>
      <c r="CI153" s="99"/>
      <c r="CJ153" s="99"/>
      <c r="CK153" s="99"/>
      <c r="CL153" s="99"/>
      <c r="CM153" s="99"/>
      <c r="CN153" s="99"/>
      <c r="CO153" s="99"/>
      <c r="CP153" s="99"/>
      <c r="CQ153" s="99"/>
      <c r="CR153" s="99"/>
      <c r="CS153" s="99"/>
      <c r="CT153" s="99"/>
      <c r="CU153" s="99"/>
      <c r="CV153" s="99"/>
      <c r="CW153" s="99"/>
      <c r="CX153" s="99"/>
      <c r="CY153" s="99"/>
      <c r="CZ153" s="99"/>
      <c r="DA153" s="99"/>
      <c r="DB153" s="99"/>
      <c r="DC153" s="99"/>
      <c r="DD153" s="99"/>
      <c r="DE153" s="99"/>
      <c r="DF153" s="99"/>
      <c r="DG153" s="99"/>
      <c r="DH153" s="99"/>
      <c r="DI153" s="99"/>
      <c r="DJ153" s="139"/>
      <c r="DK153" s="99"/>
      <c r="DL153" s="99"/>
      <c r="DM153" s="99"/>
      <c r="DN153" s="99"/>
      <c r="DO153" s="99"/>
      <c r="DP153" s="99"/>
      <c r="DQ153" s="99"/>
    </row>
    <row r="154" ht="12.0" customHeight="1">
      <c r="A154" s="6"/>
      <c r="B154" s="99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9"/>
      <c r="CE154" s="99"/>
      <c r="CF154" s="99"/>
      <c r="CG154" s="99"/>
      <c r="CH154" s="99"/>
      <c r="CI154" s="99"/>
      <c r="CJ154" s="99"/>
      <c r="CK154" s="99"/>
      <c r="CL154" s="99"/>
      <c r="CM154" s="99"/>
      <c r="CN154" s="99"/>
      <c r="CO154" s="99"/>
      <c r="CP154" s="99"/>
      <c r="CQ154" s="99"/>
      <c r="CR154" s="99"/>
      <c r="CS154" s="99"/>
      <c r="CT154" s="99"/>
      <c r="CU154" s="99"/>
      <c r="CV154" s="99"/>
      <c r="CW154" s="99"/>
      <c r="CX154" s="99"/>
      <c r="CY154" s="99"/>
      <c r="CZ154" s="99"/>
      <c r="DA154" s="99"/>
      <c r="DB154" s="99"/>
      <c r="DC154" s="99"/>
      <c r="DD154" s="99"/>
      <c r="DE154" s="99"/>
      <c r="DF154" s="99"/>
      <c r="DG154" s="99"/>
      <c r="DH154" s="99"/>
      <c r="DI154" s="99"/>
      <c r="DJ154" s="139"/>
      <c r="DK154" s="99"/>
      <c r="DL154" s="99"/>
      <c r="DM154" s="99"/>
      <c r="DN154" s="99"/>
      <c r="DO154" s="99"/>
      <c r="DP154" s="99"/>
      <c r="DQ154" s="99"/>
    </row>
    <row r="155" ht="12.0" customHeight="1">
      <c r="A155" s="6"/>
      <c r="B155" s="99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  <c r="BZ155" s="99"/>
      <c r="CA155" s="99"/>
      <c r="CB155" s="99"/>
      <c r="CC155" s="99"/>
      <c r="CD155" s="99"/>
      <c r="CE155" s="99"/>
      <c r="CF155" s="99"/>
      <c r="CG155" s="99"/>
      <c r="CH155" s="99"/>
      <c r="CI155" s="99"/>
      <c r="CJ155" s="99"/>
      <c r="CK155" s="99"/>
      <c r="CL155" s="99"/>
      <c r="CM155" s="99"/>
      <c r="CN155" s="99"/>
      <c r="CO155" s="99"/>
      <c r="CP155" s="99"/>
      <c r="CQ155" s="99"/>
      <c r="CR155" s="99"/>
      <c r="CS155" s="99"/>
      <c r="CT155" s="99"/>
      <c r="CU155" s="99"/>
      <c r="CV155" s="99"/>
      <c r="CW155" s="99"/>
      <c r="CX155" s="99"/>
      <c r="CY155" s="99"/>
      <c r="CZ155" s="99"/>
      <c r="DA155" s="99"/>
      <c r="DB155" s="99"/>
      <c r="DC155" s="99"/>
      <c r="DD155" s="99"/>
      <c r="DE155" s="99"/>
      <c r="DF155" s="99"/>
      <c r="DG155" s="99"/>
      <c r="DH155" s="99"/>
      <c r="DI155" s="99"/>
      <c r="DJ155" s="139"/>
      <c r="DK155" s="99"/>
      <c r="DL155" s="99"/>
      <c r="DM155" s="99"/>
      <c r="DN155" s="99"/>
      <c r="DO155" s="99"/>
      <c r="DP155" s="99"/>
      <c r="DQ155" s="99"/>
    </row>
    <row r="156" ht="12.0" customHeight="1">
      <c r="A156" s="6"/>
      <c r="B156" s="99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  <c r="BZ156" s="99"/>
      <c r="CA156" s="99"/>
      <c r="CB156" s="99"/>
      <c r="CC156" s="99"/>
      <c r="CD156" s="99"/>
      <c r="CE156" s="99"/>
      <c r="CF156" s="99"/>
      <c r="CG156" s="99"/>
      <c r="CH156" s="99"/>
      <c r="CI156" s="99"/>
      <c r="CJ156" s="99"/>
      <c r="CK156" s="99"/>
      <c r="CL156" s="99"/>
      <c r="CM156" s="99"/>
      <c r="CN156" s="99"/>
      <c r="CO156" s="99"/>
      <c r="CP156" s="99"/>
      <c r="CQ156" s="99"/>
      <c r="CR156" s="99"/>
      <c r="CS156" s="99"/>
      <c r="CT156" s="99"/>
      <c r="CU156" s="99"/>
      <c r="CV156" s="99"/>
      <c r="CW156" s="99"/>
      <c r="CX156" s="99"/>
      <c r="CY156" s="99"/>
      <c r="CZ156" s="99"/>
      <c r="DA156" s="99"/>
      <c r="DB156" s="99"/>
      <c r="DC156" s="99"/>
      <c r="DD156" s="99"/>
      <c r="DE156" s="99"/>
      <c r="DF156" s="99"/>
      <c r="DG156" s="99"/>
      <c r="DH156" s="99"/>
      <c r="DI156" s="99"/>
      <c r="DJ156" s="139"/>
      <c r="DK156" s="99"/>
      <c r="DL156" s="99"/>
      <c r="DM156" s="99"/>
      <c r="DN156" s="99"/>
      <c r="DO156" s="99"/>
      <c r="DP156" s="99"/>
      <c r="DQ156" s="99"/>
    </row>
    <row r="157" ht="12.0" customHeight="1">
      <c r="A157" s="6"/>
      <c r="B157" s="99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  <c r="BZ157" s="99"/>
      <c r="CA157" s="99"/>
      <c r="CB157" s="99"/>
      <c r="CC157" s="99"/>
      <c r="CD157" s="99"/>
      <c r="CE157" s="99"/>
      <c r="CF157" s="99"/>
      <c r="CG157" s="99"/>
      <c r="CH157" s="99"/>
      <c r="CI157" s="99"/>
      <c r="CJ157" s="99"/>
      <c r="CK157" s="99"/>
      <c r="CL157" s="99"/>
      <c r="CM157" s="99"/>
      <c r="CN157" s="99"/>
      <c r="CO157" s="99"/>
      <c r="CP157" s="99"/>
      <c r="CQ157" s="99"/>
      <c r="CR157" s="99"/>
      <c r="CS157" s="99"/>
      <c r="CT157" s="99"/>
      <c r="CU157" s="99"/>
      <c r="CV157" s="99"/>
      <c r="CW157" s="99"/>
      <c r="CX157" s="99"/>
      <c r="CY157" s="99"/>
      <c r="CZ157" s="99"/>
      <c r="DA157" s="99"/>
      <c r="DB157" s="99"/>
      <c r="DC157" s="99"/>
      <c r="DD157" s="99"/>
      <c r="DE157" s="99"/>
      <c r="DF157" s="99"/>
      <c r="DG157" s="99"/>
      <c r="DH157" s="99"/>
      <c r="DI157" s="99"/>
      <c r="DJ157" s="139"/>
      <c r="DK157" s="99"/>
      <c r="DL157" s="99"/>
      <c r="DM157" s="99"/>
      <c r="DN157" s="99"/>
      <c r="DO157" s="99"/>
      <c r="DP157" s="99"/>
      <c r="DQ157" s="99"/>
    </row>
    <row r="158" ht="12.0" customHeight="1">
      <c r="A158" s="6"/>
      <c r="B158" s="99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99"/>
      <c r="CD158" s="99"/>
      <c r="CE158" s="99"/>
      <c r="CF158" s="99"/>
      <c r="CG158" s="99"/>
      <c r="CH158" s="99"/>
      <c r="CI158" s="99"/>
      <c r="CJ158" s="99"/>
      <c r="CK158" s="99"/>
      <c r="CL158" s="99"/>
      <c r="CM158" s="99"/>
      <c r="CN158" s="99"/>
      <c r="CO158" s="99"/>
      <c r="CP158" s="99"/>
      <c r="CQ158" s="99"/>
      <c r="CR158" s="99"/>
      <c r="CS158" s="99"/>
      <c r="CT158" s="99"/>
      <c r="CU158" s="99"/>
      <c r="CV158" s="99"/>
      <c r="CW158" s="99"/>
      <c r="CX158" s="99"/>
      <c r="CY158" s="99"/>
      <c r="CZ158" s="99"/>
      <c r="DA158" s="99"/>
      <c r="DB158" s="99"/>
      <c r="DC158" s="99"/>
      <c r="DD158" s="99"/>
      <c r="DE158" s="99"/>
      <c r="DF158" s="99"/>
      <c r="DG158" s="99"/>
      <c r="DH158" s="99"/>
      <c r="DI158" s="99"/>
      <c r="DJ158" s="139"/>
      <c r="DK158" s="99"/>
      <c r="DL158" s="99"/>
      <c r="DM158" s="99"/>
      <c r="DN158" s="99"/>
      <c r="DO158" s="99"/>
      <c r="DP158" s="99"/>
      <c r="DQ158" s="99"/>
    </row>
    <row r="159" ht="12.0" customHeight="1">
      <c r="A159" s="6"/>
      <c r="B159" s="99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  <c r="BZ159" s="99"/>
      <c r="CA159" s="99"/>
      <c r="CB159" s="99"/>
      <c r="CC159" s="99"/>
      <c r="CD159" s="99"/>
      <c r="CE159" s="99"/>
      <c r="CF159" s="99"/>
      <c r="CG159" s="99"/>
      <c r="CH159" s="99"/>
      <c r="CI159" s="99"/>
      <c r="CJ159" s="99"/>
      <c r="CK159" s="99"/>
      <c r="CL159" s="99"/>
      <c r="CM159" s="99"/>
      <c r="CN159" s="99"/>
      <c r="CO159" s="99"/>
      <c r="CP159" s="99"/>
      <c r="CQ159" s="99"/>
      <c r="CR159" s="99"/>
      <c r="CS159" s="99"/>
      <c r="CT159" s="99"/>
      <c r="CU159" s="99"/>
      <c r="CV159" s="99"/>
      <c r="CW159" s="99"/>
      <c r="CX159" s="99"/>
      <c r="CY159" s="99"/>
      <c r="CZ159" s="99"/>
      <c r="DA159" s="99"/>
      <c r="DB159" s="99"/>
      <c r="DC159" s="99"/>
      <c r="DD159" s="99"/>
      <c r="DE159" s="99"/>
      <c r="DF159" s="99"/>
      <c r="DG159" s="99"/>
      <c r="DH159" s="99"/>
      <c r="DI159" s="99"/>
      <c r="DJ159" s="139"/>
      <c r="DK159" s="99"/>
      <c r="DL159" s="99"/>
      <c r="DM159" s="99"/>
      <c r="DN159" s="99"/>
      <c r="DO159" s="99"/>
      <c r="DP159" s="99"/>
      <c r="DQ159" s="99"/>
    </row>
    <row r="160" ht="12.0" customHeight="1">
      <c r="A160" s="6"/>
      <c r="B160" s="99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  <c r="BZ160" s="99"/>
      <c r="CA160" s="99"/>
      <c r="CB160" s="99"/>
      <c r="CC160" s="99"/>
      <c r="CD160" s="99"/>
      <c r="CE160" s="99"/>
      <c r="CF160" s="99"/>
      <c r="CG160" s="99"/>
      <c r="CH160" s="99"/>
      <c r="CI160" s="99"/>
      <c r="CJ160" s="99"/>
      <c r="CK160" s="99"/>
      <c r="CL160" s="99"/>
      <c r="CM160" s="99"/>
      <c r="CN160" s="99"/>
      <c r="CO160" s="99"/>
      <c r="CP160" s="99"/>
      <c r="CQ160" s="99"/>
      <c r="CR160" s="99"/>
      <c r="CS160" s="99"/>
      <c r="CT160" s="99"/>
      <c r="CU160" s="99"/>
      <c r="CV160" s="99"/>
      <c r="CW160" s="99"/>
      <c r="CX160" s="99"/>
      <c r="CY160" s="99"/>
      <c r="CZ160" s="99"/>
      <c r="DA160" s="99"/>
      <c r="DB160" s="99"/>
      <c r="DC160" s="99"/>
      <c r="DD160" s="99"/>
      <c r="DE160" s="99"/>
      <c r="DF160" s="99"/>
      <c r="DG160" s="99"/>
      <c r="DH160" s="99"/>
      <c r="DI160" s="99"/>
      <c r="DJ160" s="139"/>
      <c r="DK160" s="99"/>
      <c r="DL160" s="99"/>
      <c r="DM160" s="99"/>
      <c r="DN160" s="99"/>
      <c r="DO160" s="99"/>
      <c r="DP160" s="99"/>
      <c r="DQ160" s="99"/>
    </row>
    <row r="161" ht="12.0" customHeight="1">
      <c r="A161" s="6"/>
      <c r="B161" s="99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99"/>
      <c r="CD161" s="99"/>
      <c r="CE161" s="99"/>
      <c r="CF161" s="99"/>
      <c r="CG161" s="99"/>
      <c r="CH161" s="99"/>
      <c r="CI161" s="99"/>
      <c r="CJ161" s="99"/>
      <c r="CK161" s="99"/>
      <c r="CL161" s="99"/>
      <c r="CM161" s="99"/>
      <c r="CN161" s="99"/>
      <c r="CO161" s="99"/>
      <c r="CP161" s="99"/>
      <c r="CQ161" s="99"/>
      <c r="CR161" s="99"/>
      <c r="CS161" s="99"/>
      <c r="CT161" s="99"/>
      <c r="CU161" s="99"/>
      <c r="CV161" s="99"/>
      <c r="CW161" s="99"/>
      <c r="CX161" s="99"/>
      <c r="CY161" s="99"/>
      <c r="CZ161" s="99"/>
      <c r="DA161" s="99"/>
      <c r="DB161" s="99"/>
      <c r="DC161" s="99"/>
      <c r="DD161" s="99"/>
      <c r="DE161" s="99"/>
      <c r="DF161" s="99"/>
      <c r="DG161" s="99"/>
      <c r="DH161" s="99"/>
      <c r="DI161" s="99"/>
      <c r="DJ161" s="139"/>
      <c r="DK161" s="99"/>
      <c r="DL161" s="99"/>
      <c r="DM161" s="99"/>
      <c r="DN161" s="99"/>
      <c r="DO161" s="99"/>
      <c r="DP161" s="99"/>
      <c r="DQ161" s="99"/>
    </row>
    <row r="162" ht="12.0" customHeight="1">
      <c r="A162" s="6"/>
      <c r="B162" s="99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  <c r="BZ162" s="99"/>
      <c r="CA162" s="99"/>
      <c r="CB162" s="99"/>
      <c r="CC162" s="99"/>
      <c r="CD162" s="99"/>
      <c r="CE162" s="99"/>
      <c r="CF162" s="99"/>
      <c r="CG162" s="99"/>
      <c r="CH162" s="99"/>
      <c r="CI162" s="99"/>
      <c r="CJ162" s="99"/>
      <c r="CK162" s="99"/>
      <c r="CL162" s="99"/>
      <c r="CM162" s="99"/>
      <c r="CN162" s="99"/>
      <c r="CO162" s="99"/>
      <c r="CP162" s="99"/>
      <c r="CQ162" s="99"/>
      <c r="CR162" s="99"/>
      <c r="CS162" s="99"/>
      <c r="CT162" s="99"/>
      <c r="CU162" s="99"/>
      <c r="CV162" s="99"/>
      <c r="CW162" s="99"/>
      <c r="CX162" s="99"/>
      <c r="CY162" s="99"/>
      <c r="CZ162" s="99"/>
      <c r="DA162" s="99"/>
      <c r="DB162" s="99"/>
      <c r="DC162" s="99"/>
      <c r="DD162" s="99"/>
      <c r="DE162" s="99"/>
      <c r="DF162" s="99"/>
      <c r="DG162" s="99"/>
      <c r="DH162" s="99"/>
      <c r="DI162" s="99"/>
      <c r="DJ162" s="139"/>
      <c r="DK162" s="99"/>
      <c r="DL162" s="99"/>
      <c r="DM162" s="99"/>
      <c r="DN162" s="99"/>
      <c r="DO162" s="99"/>
      <c r="DP162" s="99"/>
      <c r="DQ162" s="99"/>
    </row>
    <row r="163" ht="12.0" customHeight="1">
      <c r="A163" s="6"/>
      <c r="B163" s="99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  <c r="BZ163" s="99"/>
      <c r="CA163" s="99"/>
      <c r="CB163" s="99"/>
      <c r="CC163" s="99"/>
      <c r="CD163" s="99"/>
      <c r="CE163" s="99"/>
      <c r="CF163" s="99"/>
      <c r="CG163" s="99"/>
      <c r="CH163" s="99"/>
      <c r="CI163" s="99"/>
      <c r="CJ163" s="99"/>
      <c r="CK163" s="99"/>
      <c r="CL163" s="99"/>
      <c r="CM163" s="99"/>
      <c r="CN163" s="99"/>
      <c r="CO163" s="99"/>
      <c r="CP163" s="99"/>
      <c r="CQ163" s="99"/>
      <c r="CR163" s="99"/>
      <c r="CS163" s="99"/>
      <c r="CT163" s="99"/>
      <c r="CU163" s="99"/>
      <c r="CV163" s="99"/>
      <c r="CW163" s="99"/>
      <c r="CX163" s="99"/>
      <c r="CY163" s="99"/>
      <c r="CZ163" s="99"/>
      <c r="DA163" s="99"/>
      <c r="DB163" s="99"/>
      <c r="DC163" s="99"/>
      <c r="DD163" s="99"/>
      <c r="DE163" s="99"/>
      <c r="DF163" s="99"/>
      <c r="DG163" s="99"/>
      <c r="DH163" s="99"/>
      <c r="DI163" s="99"/>
      <c r="DJ163" s="139"/>
      <c r="DK163" s="99"/>
      <c r="DL163" s="99"/>
      <c r="DM163" s="99"/>
      <c r="DN163" s="99"/>
      <c r="DO163" s="99"/>
      <c r="DP163" s="99"/>
      <c r="DQ163" s="99"/>
    </row>
    <row r="164" ht="12.0" customHeight="1">
      <c r="A164" s="6"/>
      <c r="B164" s="99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  <c r="BZ164" s="99"/>
      <c r="CA164" s="99"/>
      <c r="CB164" s="99"/>
      <c r="CC164" s="99"/>
      <c r="CD164" s="99"/>
      <c r="CE164" s="99"/>
      <c r="CF164" s="99"/>
      <c r="CG164" s="99"/>
      <c r="CH164" s="99"/>
      <c r="CI164" s="99"/>
      <c r="CJ164" s="99"/>
      <c r="CK164" s="99"/>
      <c r="CL164" s="99"/>
      <c r="CM164" s="99"/>
      <c r="CN164" s="99"/>
      <c r="CO164" s="99"/>
      <c r="CP164" s="99"/>
      <c r="CQ164" s="99"/>
      <c r="CR164" s="99"/>
      <c r="CS164" s="99"/>
      <c r="CT164" s="99"/>
      <c r="CU164" s="99"/>
      <c r="CV164" s="99"/>
      <c r="CW164" s="99"/>
      <c r="CX164" s="99"/>
      <c r="CY164" s="99"/>
      <c r="CZ164" s="99"/>
      <c r="DA164" s="99"/>
      <c r="DB164" s="99"/>
      <c r="DC164" s="99"/>
      <c r="DD164" s="99"/>
      <c r="DE164" s="99"/>
      <c r="DF164" s="99"/>
      <c r="DG164" s="99"/>
      <c r="DH164" s="99"/>
      <c r="DI164" s="99"/>
      <c r="DJ164" s="139"/>
      <c r="DK164" s="99"/>
      <c r="DL164" s="99"/>
      <c r="DM164" s="99"/>
      <c r="DN164" s="99"/>
      <c r="DO164" s="99"/>
      <c r="DP164" s="99"/>
      <c r="DQ164" s="99"/>
    </row>
    <row r="165" ht="12.0" customHeight="1">
      <c r="A165" s="6"/>
      <c r="B165" s="99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  <c r="BZ165" s="99"/>
      <c r="CA165" s="99"/>
      <c r="CB165" s="99"/>
      <c r="CC165" s="99"/>
      <c r="CD165" s="99"/>
      <c r="CE165" s="99"/>
      <c r="CF165" s="99"/>
      <c r="CG165" s="99"/>
      <c r="CH165" s="99"/>
      <c r="CI165" s="99"/>
      <c r="CJ165" s="99"/>
      <c r="CK165" s="99"/>
      <c r="CL165" s="99"/>
      <c r="CM165" s="99"/>
      <c r="CN165" s="99"/>
      <c r="CO165" s="99"/>
      <c r="CP165" s="99"/>
      <c r="CQ165" s="99"/>
      <c r="CR165" s="99"/>
      <c r="CS165" s="99"/>
      <c r="CT165" s="99"/>
      <c r="CU165" s="99"/>
      <c r="CV165" s="99"/>
      <c r="CW165" s="99"/>
      <c r="CX165" s="99"/>
      <c r="CY165" s="99"/>
      <c r="CZ165" s="99"/>
      <c r="DA165" s="99"/>
      <c r="DB165" s="99"/>
      <c r="DC165" s="99"/>
      <c r="DD165" s="99"/>
      <c r="DE165" s="99"/>
      <c r="DF165" s="99"/>
      <c r="DG165" s="99"/>
      <c r="DH165" s="99"/>
      <c r="DI165" s="99"/>
      <c r="DJ165" s="139"/>
      <c r="DK165" s="99"/>
      <c r="DL165" s="99"/>
      <c r="DM165" s="99"/>
      <c r="DN165" s="99"/>
      <c r="DO165" s="99"/>
      <c r="DP165" s="99"/>
      <c r="DQ165" s="99"/>
    </row>
    <row r="166" ht="12.0" customHeight="1">
      <c r="A166" s="6"/>
      <c r="B166" s="99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  <c r="BZ166" s="99"/>
      <c r="CA166" s="99"/>
      <c r="CB166" s="99"/>
      <c r="CC166" s="99"/>
      <c r="CD166" s="99"/>
      <c r="CE166" s="99"/>
      <c r="CF166" s="99"/>
      <c r="CG166" s="99"/>
      <c r="CH166" s="99"/>
      <c r="CI166" s="99"/>
      <c r="CJ166" s="99"/>
      <c r="CK166" s="99"/>
      <c r="CL166" s="99"/>
      <c r="CM166" s="99"/>
      <c r="CN166" s="99"/>
      <c r="CO166" s="99"/>
      <c r="CP166" s="99"/>
      <c r="CQ166" s="99"/>
      <c r="CR166" s="99"/>
      <c r="CS166" s="99"/>
      <c r="CT166" s="99"/>
      <c r="CU166" s="99"/>
      <c r="CV166" s="99"/>
      <c r="CW166" s="99"/>
      <c r="CX166" s="99"/>
      <c r="CY166" s="99"/>
      <c r="CZ166" s="99"/>
      <c r="DA166" s="99"/>
      <c r="DB166" s="99"/>
      <c r="DC166" s="99"/>
      <c r="DD166" s="99"/>
      <c r="DE166" s="99"/>
      <c r="DF166" s="99"/>
      <c r="DG166" s="99"/>
      <c r="DH166" s="99"/>
      <c r="DI166" s="99"/>
      <c r="DJ166" s="139"/>
      <c r="DK166" s="99"/>
      <c r="DL166" s="99"/>
      <c r="DM166" s="99"/>
      <c r="DN166" s="99"/>
      <c r="DO166" s="99"/>
      <c r="DP166" s="99"/>
      <c r="DQ166" s="99"/>
    </row>
    <row r="167" ht="12.0" customHeight="1">
      <c r="A167" s="6"/>
      <c r="B167" s="99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  <c r="BV167" s="99"/>
      <c r="BW167" s="99"/>
      <c r="BX167" s="99"/>
      <c r="BY167" s="99"/>
      <c r="BZ167" s="99"/>
      <c r="CA167" s="99"/>
      <c r="CB167" s="99"/>
      <c r="CC167" s="99"/>
      <c r="CD167" s="99"/>
      <c r="CE167" s="99"/>
      <c r="CF167" s="99"/>
      <c r="CG167" s="99"/>
      <c r="CH167" s="99"/>
      <c r="CI167" s="99"/>
      <c r="CJ167" s="99"/>
      <c r="CK167" s="99"/>
      <c r="CL167" s="99"/>
      <c r="CM167" s="99"/>
      <c r="CN167" s="99"/>
      <c r="CO167" s="99"/>
      <c r="CP167" s="99"/>
      <c r="CQ167" s="99"/>
      <c r="CR167" s="99"/>
      <c r="CS167" s="99"/>
      <c r="CT167" s="99"/>
      <c r="CU167" s="99"/>
      <c r="CV167" s="99"/>
      <c r="CW167" s="99"/>
      <c r="CX167" s="99"/>
      <c r="CY167" s="99"/>
      <c r="CZ167" s="99"/>
      <c r="DA167" s="99"/>
      <c r="DB167" s="99"/>
      <c r="DC167" s="99"/>
      <c r="DD167" s="99"/>
      <c r="DE167" s="99"/>
      <c r="DF167" s="99"/>
      <c r="DG167" s="99"/>
      <c r="DH167" s="99"/>
      <c r="DI167" s="99"/>
      <c r="DJ167" s="139"/>
      <c r="DK167" s="99"/>
      <c r="DL167" s="99"/>
      <c r="DM167" s="99"/>
      <c r="DN167" s="99"/>
      <c r="DO167" s="99"/>
      <c r="DP167" s="99"/>
      <c r="DQ167" s="99"/>
    </row>
    <row r="168" ht="12.0" customHeight="1">
      <c r="A168" s="6"/>
      <c r="B168" s="99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  <c r="BV168" s="99"/>
      <c r="BW168" s="99"/>
      <c r="BX168" s="99"/>
      <c r="BY168" s="99"/>
      <c r="BZ168" s="99"/>
      <c r="CA168" s="99"/>
      <c r="CB168" s="99"/>
      <c r="CC168" s="99"/>
      <c r="CD168" s="99"/>
      <c r="CE168" s="99"/>
      <c r="CF168" s="99"/>
      <c r="CG168" s="99"/>
      <c r="CH168" s="99"/>
      <c r="CI168" s="99"/>
      <c r="CJ168" s="99"/>
      <c r="CK168" s="99"/>
      <c r="CL168" s="99"/>
      <c r="CM168" s="99"/>
      <c r="CN168" s="99"/>
      <c r="CO168" s="99"/>
      <c r="CP168" s="99"/>
      <c r="CQ168" s="99"/>
      <c r="CR168" s="99"/>
      <c r="CS168" s="99"/>
      <c r="CT168" s="99"/>
      <c r="CU168" s="99"/>
      <c r="CV168" s="99"/>
      <c r="CW168" s="99"/>
      <c r="CX168" s="99"/>
      <c r="CY168" s="99"/>
      <c r="CZ168" s="99"/>
      <c r="DA168" s="99"/>
      <c r="DB168" s="99"/>
      <c r="DC168" s="99"/>
      <c r="DD168" s="99"/>
      <c r="DE168" s="99"/>
      <c r="DF168" s="99"/>
      <c r="DG168" s="99"/>
      <c r="DH168" s="99"/>
      <c r="DI168" s="99"/>
      <c r="DJ168" s="139"/>
      <c r="DK168" s="99"/>
      <c r="DL168" s="99"/>
      <c r="DM168" s="99"/>
      <c r="DN168" s="99"/>
      <c r="DO168" s="99"/>
      <c r="DP168" s="99"/>
      <c r="DQ168" s="99"/>
    </row>
    <row r="169" ht="12.0" customHeight="1">
      <c r="A169" s="6"/>
      <c r="B169" s="99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99"/>
      <c r="CD169" s="99"/>
      <c r="CE169" s="99"/>
      <c r="CF169" s="99"/>
      <c r="CG169" s="99"/>
      <c r="CH169" s="99"/>
      <c r="CI169" s="99"/>
      <c r="CJ169" s="99"/>
      <c r="CK169" s="99"/>
      <c r="CL169" s="99"/>
      <c r="CM169" s="99"/>
      <c r="CN169" s="99"/>
      <c r="CO169" s="99"/>
      <c r="CP169" s="99"/>
      <c r="CQ169" s="99"/>
      <c r="CR169" s="99"/>
      <c r="CS169" s="99"/>
      <c r="CT169" s="99"/>
      <c r="CU169" s="99"/>
      <c r="CV169" s="99"/>
      <c r="CW169" s="99"/>
      <c r="CX169" s="99"/>
      <c r="CY169" s="99"/>
      <c r="CZ169" s="99"/>
      <c r="DA169" s="99"/>
      <c r="DB169" s="99"/>
      <c r="DC169" s="99"/>
      <c r="DD169" s="99"/>
      <c r="DE169" s="99"/>
      <c r="DF169" s="99"/>
      <c r="DG169" s="99"/>
      <c r="DH169" s="99"/>
      <c r="DI169" s="99"/>
      <c r="DJ169" s="139"/>
      <c r="DK169" s="99"/>
      <c r="DL169" s="99"/>
      <c r="DM169" s="99"/>
      <c r="DN169" s="99"/>
      <c r="DO169" s="99"/>
      <c r="DP169" s="99"/>
      <c r="DQ169" s="99"/>
    </row>
    <row r="170" ht="12.0" customHeight="1">
      <c r="A170" s="6"/>
      <c r="B170" s="99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99"/>
      <c r="CD170" s="99"/>
      <c r="CE170" s="99"/>
      <c r="CF170" s="99"/>
      <c r="CG170" s="99"/>
      <c r="CH170" s="99"/>
      <c r="CI170" s="99"/>
      <c r="CJ170" s="99"/>
      <c r="CK170" s="99"/>
      <c r="CL170" s="99"/>
      <c r="CM170" s="99"/>
      <c r="CN170" s="99"/>
      <c r="CO170" s="99"/>
      <c r="CP170" s="99"/>
      <c r="CQ170" s="99"/>
      <c r="CR170" s="99"/>
      <c r="CS170" s="99"/>
      <c r="CT170" s="99"/>
      <c r="CU170" s="99"/>
      <c r="CV170" s="99"/>
      <c r="CW170" s="99"/>
      <c r="CX170" s="99"/>
      <c r="CY170" s="99"/>
      <c r="CZ170" s="99"/>
      <c r="DA170" s="99"/>
      <c r="DB170" s="99"/>
      <c r="DC170" s="99"/>
      <c r="DD170" s="99"/>
      <c r="DE170" s="99"/>
      <c r="DF170" s="99"/>
      <c r="DG170" s="99"/>
      <c r="DH170" s="99"/>
      <c r="DI170" s="99"/>
      <c r="DJ170" s="139"/>
      <c r="DK170" s="99"/>
      <c r="DL170" s="99"/>
      <c r="DM170" s="99"/>
      <c r="DN170" s="99"/>
      <c r="DO170" s="99"/>
      <c r="DP170" s="99"/>
      <c r="DQ170" s="99"/>
    </row>
    <row r="171" ht="12.0" customHeight="1">
      <c r="A171" s="6"/>
      <c r="B171" s="99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99"/>
      <c r="CD171" s="99"/>
      <c r="CE171" s="99"/>
      <c r="CF171" s="99"/>
      <c r="CG171" s="99"/>
      <c r="CH171" s="99"/>
      <c r="CI171" s="99"/>
      <c r="CJ171" s="99"/>
      <c r="CK171" s="99"/>
      <c r="CL171" s="99"/>
      <c r="CM171" s="99"/>
      <c r="CN171" s="99"/>
      <c r="CO171" s="99"/>
      <c r="CP171" s="99"/>
      <c r="CQ171" s="99"/>
      <c r="CR171" s="99"/>
      <c r="CS171" s="99"/>
      <c r="CT171" s="99"/>
      <c r="CU171" s="99"/>
      <c r="CV171" s="99"/>
      <c r="CW171" s="99"/>
      <c r="CX171" s="99"/>
      <c r="CY171" s="99"/>
      <c r="CZ171" s="99"/>
      <c r="DA171" s="99"/>
      <c r="DB171" s="99"/>
      <c r="DC171" s="99"/>
      <c r="DD171" s="99"/>
      <c r="DE171" s="99"/>
      <c r="DF171" s="99"/>
      <c r="DG171" s="99"/>
      <c r="DH171" s="99"/>
      <c r="DI171" s="99"/>
      <c r="DJ171" s="139"/>
      <c r="DK171" s="99"/>
      <c r="DL171" s="99"/>
      <c r="DM171" s="99"/>
      <c r="DN171" s="99"/>
      <c r="DO171" s="99"/>
      <c r="DP171" s="99"/>
      <c r="DQ171" s="99"/>
    </row>
    <row r="172" ht="12.0" customHeight="1">
      <c r="A172" s="6"/>
      <c r="B172" s="99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  <c r="BV172" s="99"/>
      <c r="BW172" s="99"/>
      <c r="BX172" s="99"/>
      <c r="BY172" s="99"/>
      <c r="BZ172" s="99"/>
      <c r="CA172" s="99"/>
      <c r="CB172" s="99"/>
      <c r="CC172" s="99"/>
      <c r="CD172" s="99"/>
      <c r="CE172" s="99"/>
      <c r="CF172" s="99"/>
      <c r="CG172" s="99"/>
      <c r="CH172" s="99"/>
      <c r="CI172" s="99"/>
      <c r="CJ172" s="99"/>
      <c r="CK172" s="99"/>
      <c r="CL172" s="99"/>
      <c r="CM172" s="99"/>
      <c r="CN172" s="99"/>
      <c r="CO172" s="99"/>
      <c r="CP172" s="99"/>
      <c r="CQ172" s="99"/>
      <c r="CR172" s="99"/>
      <c r="CS172" s="99"/>
      <c r="CT172" s="99"/>
      <c r="CU172" s="99"/>
      <c r="CV172" s="99"/>
      <c r="CW172" s="99"/>
      <c r="CX172" s="99"/>
      <c r="CY172" s="99"/>
      <c r="CZ172" s="99"/>
      <c r="DA172" s="99"/>
      <c r="DB172" s="99"/>
      <c r="DC172" s="99"/>
      <c r="DD172" s="99"/>
      <c r="DE172" s="99"/>
      <c r="DF172" s="99"/>
      <c r="DG172" s="99"/>
      <c r="DH172" s="99"/>
      <c r="DI172" s="99"/>
      <c r="DJ172" s="139"/>
      <c r="DK172" s="99"/>
      <c r="DL172" s="99"/>
      <c r="DM172" s="99"/>
      <c r="DN172" s="99"/>
      <c r="DO172" s="99"/>
      <c r="DP172" s="99"/>
      <c r="DQ172" s="99"/>
    </row>
    <row r="173" ht="12.0" customHeight="1">
      <c r="A173" s="6"/>
      <c r="B173" s="99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  <c r="BV173" s="99"/>
      <c r="BW173" s="99"/>
      <c r="BX173" s="99"/>
      <c r="BY173" s="99"/>
      <c r="BZ173" s="99"/>
      <c r="CA173" s="99"/>
      <c r="CB173" s="99"/>
      <c r="CC173" s="99"/>
      <c r="CD173" s="99"/>
      <c r="CE173" s="99"/>
      <c r="CF173" s="99"/>
      <c r="CG173" s="99"/>
      <c r="CH173" s="99"/>
      <c r="CI173" s="99"/>
      <c r="CJ173" s="99"/>
      <c r="CK173" s="99"/>
      <c r="CL173" s="99"/>
      <c r="CM173" s="99"/>
      <c r="CN173" s="99"/>
      <c r="CO173" s="99"/>
      <c r="CP173" s="99"/>
      <c r="CQ173" s="99"/>
      <c r="CR173" s="99"/>
      <c r="CS173" s="99"/>
      <c r="CT173" s="99"/>
      <c r="CU173" s="99"/>
      <c r="CV173" s="99"/>
      <c r="CW173" s="99"/>
      <c r="CX173" s="99"/>
      <c r="CY173" s="99"/>
      <c r="CZ173" s="99"/>
      <c r="DA173" s="99"/>
      <c r="DB173" s="99"/>
      <c r="DC173" s="99"/>
      <c r="DD173" s="99"/>
      <c r="DE173" s="99"/>
      <c r="DF173" s="99"/>
      <c r="DG173" s="99"/>
      <c r="DH173" s="99"/>
      <c r="DI173" s="99"/>
      <c r="DJ173" s="139"/>
      <c r="DK173" s="99"/>
      <c r="DL173" s="99"/>
      <c r="DM173" s="99"/>
      <c r="DN173" s="99"/>
      <c r="DO173" s="99"/>
      <c r="DP173" s="99"/>
      <c r="DQ173" s="99"/>
    </row>
    <row r="174" ht="12.0" customHeight="1">
      <c r="A174" s="6"/>
      <c r="B174" s="99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  <c r="BV174" s="99"/>
      <c r="BW174" s="99"/>
      <c r="BX174" s="99"/>
      <c r="BY174" s="99"/>
      <c r="BZ174" s="99"/>
      <c r="CA174" s="99"/>
      <c r="CB174" s="99"/>
      <c r="CC174" s="99"/>
      <c r="CD174" s="99"/>
      <c r="CE174" s="99"/>
      <c r="CF174" s="99"/>
      <c r="CG174" s="99"/>
      <c r="CH174" s="99"/>
      <c r="CI174" s="99"/>
      <c r="CJ174" s="99"/>
      <c r="CK174" s="99"/>
      <c r="CL174" s="99"/>
      <c r="CM174" s="99"/>
      <c r="CN174" s="99"/>
      <c r="CO174" s="99"/>
      <c r="CP174" s="99"/>
      <c r="CQ174" s="99"/>
      <c r="CR174" s="99"/>
      <c r="CS174" s="99"/>
      <c r="CT174" s="99"/>
      <c r="CU174" s="99"/>
      <c r="CV174" s="99"/>
      <c r="CW174" s="99"/>
      <c r="CX174" s="99"/>
      <c r="CY174" s="99"/>
      <c r="CZ174" s="99"/>
      <c r="DA174" s="99"/>
      <c r="DB174" s="99"/>
      <c r="DC174" s="99"/>
      <c r="DD174" s="99"/>
      <c r="DE174" s="99"/>
      <c r="DF174" s="99"/>
      <c r="DG174" s="99"/>
      <c r="DH174" s="99"/>
      <c r="DI174" s="99"/>
      <c r="DJ174" s="139"/>
      <c r="DK174" s="99"/>
      <c r="DL174" s="99"/>
      <c r="DM174" s="99"/>
      <c r="DN174" s="99"/>
      <c r="DO174" s="99"/>
      <c r="DP174" s="99"/>
      <c r="DQ174" s="99"/>
    </row>
    <row r="175" ht="12.0" customHeight="1">
      <c r="A175" s="6"/>
      <c r="B175" s="99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  <c r="BV175" s="99"/>
      <c r="BW175" s="99"/>
      <c r="BX175" s="99"/>
      <c r="BY175" s="99"/>
      <c r="BZ175" s="99"/>
      <c r="CA175" s="99"/>
      <c r="CB175" s="99"/>
      <c r="CC175" s="99"/>
      <c r="CD175" s="99"/>
      <c r="CE175" s="99"/>
      <c r="CF175" s="99"/>
      <c r="CG175" s="99"/>
      <c r="CH175" s="99"/>
      <c r="CI175" s="99"/>
      <c r="CJ175" s="99"/>
      <c r="CK175" s="99"/>
      <c r="CL175" s="99"/>
      <c r="CM175" s="99"/>
      <c r="CN175" s="99"/>
      <c r="CO175" s="99"/>
      <c r="CP175" s="99"/>
      <c r="CQ175" s="99"/>
      <c r="CR175" s="99"/>
      <c r="CS175" s="99"/>
      <c r="CT175" s="99"/>
      <c r="CU175" s="99"/>
      <c r="CV175" s="99"/>
      <c r="CW175" s="99"/>
      <c r="CX175" s="99"/>
      <c r="CY175" s="99"/>
      <c r="CZ175" s="99"/>
      <c r="DA175" s="99"/>
      <c r="DB175" s="99"/>
      <c r="DC175" s="99"/>
      <c r="DD175" s="99"/>
      <c r="DE175" s="99"/>
      <c r="DF175" s="99"/>
      <c r="DG175" s="99"/>
      <c r="DH175" s="99"/>
      <c r="DI175" s="99"/>
      <c r="DJ175" s="139"/>
      <c r="DK175" s="99"/>
      <c r="DL175" s="99"/>
      <c r="DM175" s="99"/>
      <c r="DN175" s="99"/>
      <c r="DO175" s="99"/>
      <c r="DP175" s="99"/>
      <c r="DQ175" s="99"/>
    </row>
    <row r="176" ht="12.0" customHeight="1">
      <c r="A176" s="6"/>
      <c r="B176" s="99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  <c r="BV176" s="99"/>
      <c r="BW176" s="99"/>
      <c r="BX176" s="99"/>
      <c r="BY176" s="99"/>
      <c r="BZ176" s="99"/>
      <c r="CA176" s="99"/>
      <c r="CB176" s="99"/>
      <c r="CC176" s="99"/>
      <c r="CD176" s="99"/>
      <c r="CE176" s="99"/>
      <c r="CF176" s="99"/>
      <c r="CG176" s="99"/>
      <c r="CH176" s="99"/>
      <c r="CI176" s="99"/>
      <c r="CJ176" s="99"/>
      <c r="CK176" s="99"/>
      <c r="CL176" s="99"/>
      <c r="CM176" s="99"/>
      <c r="CN176" s="99"/>
      <c r="CO176" s="99"/>
      <c r="CP176" s="99"/>
      <c r="CQ176" s="99"/>
      <c r="CR176" s="99"/>
      <c r="CS176" s="99"/>
      <c r="CT176" s="99"/>
      <c r="CU176" s="99"/>
      <c r="CV176" s="99"/>
      <c r="CW176" s="99"/>
      <c r="CX176" s="99"/>
      <c r="CY176" s="99"/>
      <c r="CZ176" s="99"/>
      <c r="DA176" s="99"/>
      <c r="DB176" s="99"/>
      <c r="DC176" s="99"/>
      <c r="DD176" s="99"/>
      <c r="DE176" s="99"/>
      <c r="DF176" s="99"/>
      <c r="DG176" s="99"/>
      <c r="DH176" s="99"/>
      <c r="DI176" s="99"/>
      <c r="DJ176" s="139"/>
      <c r="DK176" s="99"/>
      <c r="DL176" s="99"/>
      <c r="DM176" s="99"/>
      <c r="DN176" s="99"/>
      <c r="DO176" s="99"/>
      <c r="DP176" s="99"/>
      <c r="DQ176" s="99"/>
    </row>
    <row r="177" ht="12.0" customHeight="1">
      <c r="A177" s="6"/>
      <c r="B177" s="99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  <c r="BV177" s="99"/>
      <c r="BW177" s="99"/>
      <c r="BX177" s="99"/>
      <c r="BY177" s="99"/>
      <c r="BZ177" s="99"/>
      <c r="CA177" s="99"/>
      <c r="CB177" s="99"/>
      <c r="CC177" s="99"/>
      <c r="CD177" s="99"/>
      <c r="CE177" s="99"/>
      <c r="CF177" s="99"/>
      <c r="CG177" s="99"/>
      <c r="CH177" s="99"/>
      <c r="CI177" s="99"/>
      <c r="CJ177" s="99"/>
      <c r="CK177" s="99"/>
      <c r="CL177" s="99"/>
      <c r="CM177" s="99"/>
      <c r="CN177" s="99"/>
      <c r="CO177" s="99"/>
      <c r="CP177" s="99"/>
      <c r="CQ177" s="99"/>
      <c r="CR177" s="99"/>
      <c r="CS177" s="99"/>
      <c r="CT177" s="99"/>
      <c r="CU177" s="99"/>
      <c r="CV177" s="99"/>
      <c r="CW177" s="99"/>
      <c r="CX177" s="99"/>
      <c r="CY177" s="99"/>
      <c r="CZ177" s="99"/>
      <c r="DA177" s="99"/>
      <c r="DB177" s="99"/>
      <c r="DC177" s="99"/>
      <c r="DD177" s="99"/>
      <c r="DE177" s="99"/>
      <c r="DF177" s="99"/>
      <c r="DG177" s="99"/>
      <c r="DH177" s="99"/>
      <c r="DI177" s="99"/>
      <c r="DJ177" s="139"/>
      <c r="DK177" s="99"/>
      <c r="DL177" s="99"/>
      <c r="DM177" s="99"/>
      <c r="DN177" s="99"/>
      <c r="DO177" s="99"/>
      <c r="DP177" s="99"/>
      <c r="DQ177" s="99"/>
    </row>
    <row r="178" ht="12.0" customHeight="1">
      <c r="A178" s="6"/>
      <c r="B178" s="99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  <c r="BV178" s="99"/>
      <c r="BW178" s="99"/>
      <c r="BX178" s="99"/>
      <c r="BY178" s="99"/>
      <c r="BZ178" s="99"/>
      <c r="CA178" s="99"/>
      <c r="CB178" s="99"/>
      <c r="CC178" s="99"/>
      <c r="CD178" s="99"/>
      <c r="CE178" s="99"/>
      <c r="CF178" s="99"/>
      <c r="CG178" s="99"/>
      <c r="CH178" s="99"/>
      <c r="CI178" s="99"/>
      <c r="CJ178" s="99"/>
      <c r="CK178" s="99"/>
      <c r="CL178" s="99"/>
      <c r="CM178" s="99"/>
      <c r="CN178" s="99"/>
      <c r="CO178" s="99"/>
      <c r="CP178" s="99"/>
      <c r="CQ178" s="99"/>
      <c r="CR178" s="99"/>
      <c r="CS178" s="99"/>
      <c r="CT178" s="99"/>
      <c r="CU178" s="99"/>
      <c r="CV178" s="99"/>
      <c r="CW178" s="99"/>
      <c r="CX178" s="99"/>
      <c r="CY178" s="99"/>
      <c r="CZ178" s="99"/>
      <c r="DA178" s="99"/>
      <c r="DB178" s="99"/>
      <c r="DC178" s="99"/>
      <c r="DD178" s="99"/>
      <c r="DE178" s="99"/>
      <c r="DF178" s="99"/>
      <c r="DG178" s="99"/>
      <c r="DH178" s="99"/>
      <c r="DI178" s="99"/>
      <c r="DJ178" s="139"/>
      <c r="DK178" s="99"/>
      <c r="DL178" s="99"/>
      <c r="DM178" s="99"/>
      <c r="DN178" s="99"/>
      <c r="DO178" s="99"/>
      <c r="DP178" s="99"/>
      <c r="DQ178" s="99"/>
    </row>
    <row r="179" ht="12.0" customHeight="1">
      <c r="A179" s="6"/>
      <c r="B179" s="99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  <c r="BV179" s="99"/>
      <c r="BW179" s="99"/>
      <c r="BX179" s="99"/>
      <c r="BY179" s="99"/>
      <c r="BZ179" s="99"/>
      <c r="CA179" s="99"/>
      <c r="CB179" s="99"/>
      <c r="CC179" s="99"/>
      <c r="CD179" s="99"/>
      <c r="CE179" s="99"/>
      <c r="CF179" s="99"/>
      <c r="CG179" s="99"/>
      <c r="CH179" s="99"/>
      <c r="CI179" s="99"/>
      <c r="CJ179" s="99"/>
      <c r="CK179" s="99"/>
      <c r="CL179" s="99"/>
      <c r="CM179" s="99"/>
      <c r="CN179" s="99"/>
      <c r="CO179" s="99"/>
      <c r="CP179" s="99"/>
      <c r="CQ179" s="99"/>
      <c r="CR179" s="99"/>
      <c r="CS179" s="99"/>
      <c r="CT179" s="99"/>
      <c r="CU179" s="99"/>
      <c r="CV179" s="99"/>
      <c r="CW179" s="99"/>
      <c r="CX179" s="99"/>
      <c r="CY179" s="99"/>
      <c r="CZ179" s="99"/>
      <c r="DA179" s="99"/>
      <c r="DB179" s="99"/>
      <c r="DC179" s="99"/>
      <c r="DD179" s="99"/>
      <c r="DE179" s="99"/>
      <c r="DF179" s="99"/>
      <c r="DG179" s="99"/>
      <c r="DH179" s="99"/>
      <c r="DI179" s="99"/>
      <c r="DJ179" s="139"/>
      <c r="DK179" s="99"/>
      <c r="DL179" s="99"/>
      <c r="DM179" s="99"/>
      <c r="DN179" s="99"/>
      <c r="DO179" s="99"/>
      <c r="DP179" s="99"/>
      <c r="DQ179" s="99"/>
    </row>
    <row r="180" ht="12.0" customHeight="1">
      <c r="A180" s="6"/>
      <c r="B180" s="99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  <c r="BP180" s="99"/>
      <c r="BQ180" s="99"/>
      <c r="BR180" s="99"/>
      <c r="BS180" s="99"/>
      <c r="BT180" s="99"/>
      <c r="BU180" s="99"/>
      <c r="BV180" s="99"/>
      <c r="BW180" s="99"/>
      <c r="BX180" s="99"/>
      <c r="BY180" s="99"/>
      <c r="BZ180" s="99"/>
      <c r="CA180" s="99"/>
      <c r="CB180" s="99"/>
      <c r="CC180" s="99"/>
      <c r="CD180" s="99"/>
      <c r="CE180" s="99"/>
      <c r="CF180" s="99"/>
      <c r="CG180" s="99"/>
      <c r="CH180" s="99"/>
      <c r="CI180" s="99"/>
      <c r="CJ180" s="99"/>
      <c r="CK180" s="99"/>
      <c r="CL180" s="99"/>
      <c r="CM180" s="99"/>
      <c r="CN180" s="99"/>
      <c r="CO180" s="99"/>
      <c r="CP180" s="99"/>
      <c r="CQ180" s="99"/>
      <c r="CR180" s="99"/>
      <c r="CS180" s="99"/>
      <c r="CT180" s="99"/>
      <c r="CU180" s="99"/>
      <c r="CV180" s="99"/>
      <c r="CW180" s="99"/>
      <c r="CX180" s="99"/>
      <c r="CY180" s="99"/>
      <c r="CZ180" s="99"/>
      <c r="DA180" s="99"/>
      <c r="DB180" s="99"/>
      <c r="DC180" s="99"/>
      <c r="DD180" s="99"/>
      <c r="DE180" s="99"/>
      <c r="DF180" s="99"/>
      <c r="DG180" s="99"/>
      <c r="DH180" s="99"/>
      <c r="DI180" s="99"/>
      <c r="DJ180" s="139"/>
      <c r="DK180" s="99"/>
      <c r="DL180" s="99"/>
      <c r="DM180" s="99"/>
      <c r="DN180" s="99"/>
      <c r="DO180" s="99"/>
      <c r="DP180" s="99"/>
      <c r="DQ180" s="99"/>
    </row>
    <row r="181" ht="12.0" customHeight="1">
      <c r="A181" s="6"/>
      <c r="B181" s="99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  <c r="BV181" s="99"/>
      <c r="BW181" s="99"/>
      <c r="BX181" s="99"/>
      <c r="BY181" s="99"/>
      <c r="BZ181" s="99"/>
      <c r="CA181" s="99"/>
      <c r="CB181" s="99"/>
      <c r="CC181" s="99"/>
      <c r="CD181" s="99"/>
      <c r="CE181" s="99"/>
      <c r="CF181" s="99"/>
      <c r="CG181" s="99"/>
      <c r="CH181" s="99"/>
      <c r="CI181" s="99"/>
      <c r="CJ181" s="99"/>
      <c r="CK181" s="99"/>
      <c r="CL181" s="99"/>
      <c r="CM181" s="99"/>
      <c r="CN181" s="99"/>
      <c r="CO181" s="99"/>
      <c r="CP181" s="99"/>
      <c r="CQ181" s="99"/>
      <c r="CR181" s="99"/>
      <c r="CS181" s="99"/>
      <c r="CT181" s="99"/>
      <c r="CU181" s="99"/>
      <c r="CV181" s="99"/>
      <c r="CW181" s="99"/>
      <c r="CX181" s="99"/>
      <c r="CY181" s="99"/>
      <c r="CZ181" s="99"/>
      <c r="DA181" s="99"/>
      <c r="DB181" s="99"/>
      <c r="DC181" s="99"/>
      <c r="DD181" s="99"/>
      <c r="DE181" s="99"/>
      <c r="DF181" s="99"/>
      <c r="DG181" s="99"/>
      <c r="DH181" s="99"/>
      <c r="DI181" s="99"/>
      <c r="DJ181" s="139"/>
      <c r="DK181" s="99"/>
      <c r="DL181" s="99"/>
      <c r="DM181" s="99"/>
      <c r="DN181" s="99"/>
      <c r="DO181" s="99"/>
      <c r="DP181" s="99"/>
      <c r="DQ181" s="99"/>
    </row>
    <row r="182" ht="12.0" customHeight="1">
      <c r="A182" s="6"/>
      <c r="B182" s="99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  <c r="BV182" s="99"/>
      <c r="BW182" s="99"/>
      <c r="BX182" s="99"/>
      <c r="BY182" s="99"/>
      <c r="BZ182" s="99"/>
      <c r="CA182" s="99"/>
      <c r="CB182" s="99"/>
      <c r="CC182" s="99"/>
      <c r="CD182" s="99"/>
      <c r="CE182" s="99"/>
      <c r="CF182" s="99"/>
      <c r="CG182" s="99"/>
      <c r="CH182" s="99"/>
      <c r="CI182" s="99"/>
      <c r="CJ182" s="99"/>
      <c r="CK182" s="99"/>
      <c r="CL182" s="99"/>
      <c r="CM182" s="99"/>
      <c r="CN182" s="99"/>
      <c r="CO182" s="99"/>
      <c r="CP182" s="99"/>
      <c r="CQ182" s="99"/>
      <c r="CR182" s="99"/>
      <c r="CS182" s="99"/>
      <c r="CT182" s="99"/>
      <c r="CU182" s="99"/>
      <c r="CV182" s="99"/>
      <c r="CW182" s="99"/>
      <c r="CX182" s="99"/>
      <c r="CY182" s="99"/>
      <c r="CZ182" s="99"/>
      <c r="DA182" s="99"/>
      <c r="DB182" s="99"/>
      <c r="DC182" s="99"/>
      <c r="DD182" s="99"/>
      <c r="DE182" s="99"/>
      <c r="DF182" s="99"/>
      <c r="DG182" s="99"/>
      <c r="DH182" s="99"/>
      <c r="DI182" s="99"/>
      <c r="DJ182" s="139"/>
      <c r="DK182" s="99"/>
      <c r="DL182" s="99"/>
      <c r="DM182" s="99"/>
      <c r="DN182" s="99"/>
      <c r="DO182" s="99"/>
      <c r="DP182" s="99"/>
      <c r="DQ182" s="99"/>
    </row>
    <row r="183" ht="12.0" customHeight="1">
      <c r="A183" s="6"/>
      <c r="B183" s="99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  <c r="BV183" s="99"/>
      <c r="BW183" s="99"/>
      <c r="BX183" s="99"/>
      <c r="BY183" s="99"/>
      <c r="BZ183" s="99"/>
      <c r="CA183" s="99"/>
      <c r="CB183" s="99"/>
      <c r="CC183" s="99"/>
      <c r="CD183" s="99"/>
      <c r="CE183" s="99"/>
      <c r="CF183" s="99"/>
      <c r="CG183" s="99"/>
      <c r="CH183" s="99"/>
      <c r="CI183" s="99"/>
      <c r="CJ183" s="99"/>
      <c r="CK183" s="99"/>
      <c r="CL183" s="99"/>
      <c r="CM183" s="99"/>
      <c r="CN183" s="99"/>
      <c r="CO183" s="99"/>
      <c r="CP183" s="99"/>
      <c r="CQ183" s="99"/>
      <c r="CR183" s="99"/>
      <c r="CS183" s="99"/>
      <c r="CT183" s="99"/>
      <c r="CU183" s="99"/>
      <c r="CV183" s="99"/>
      <c r="CW183" s="99"/>
      <c r="CX183" s="99"/>
      <c r="CY183" s="99"/>
      <c r="CZ183" s="99"/>
      <c r="DA183" s="99"/>
      <c r="DB183" s="99"/>
      <c r="DC183" s="99"/>
      <c r="DD183" s="99"/>
      <c r="DE183" s="99"/>
      <c r="DF183" s="99"/>
      <c r="DG183" s="99"/>
      <c r="DH183" s="99"/>
      <c r="DI183" s="99"/>
      <c r="DJ183" s="139"/>
      <c r="DK183" s="99"/>
      <c r="DL183" s="99"/>
      <c r="DM183" s="99"/>
      <c r="DN183" s="99"/>
      <c r="DO183" s="99"/>
      <c r="DP183" s="99"/>
      <c r="DQ183" s="99"/>
    </row>
    <row r="184" ht="12.0" customHeight="1">
      <c r="A184" s="6"/>
      <c r="B184" s="99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  <c r="BV184" s="99"/>
      <c r="BW184" s="99"/>
      <c r="BX184" s="99"/>
      <c r="BY184" s="99"/>
      <c r="BZ184" s="99"/>
      <c r="CA184" s="99"/>
      <c r="CB184" s="99"/>
      <c r="CC184" s="99"/>
      <c r="CD184" s="99"/>
      <c r="CE184" s="99"/>
      <c r="CF184" s="99"/>
      <c r="CG184" s="99"/>
      <c r="CH184" s="99"/>
      <c r="CI184" s="99"/>
      <c r="CJ184" s="99"/>
      <c r="CK184" s="99"/>
      <c r="CL184" s="99"/>
      <c r="CM184" s="99"/>
      <c r="CN184" s="99"/>
      <c r="CO184" s="99"/>
      <c r="CP184" s="99"/>
      <c r="CQ184" s="99"/>
      <c r="CR184" s="99"/>
      <c r="CS184" s="99"/>
      <c r="CT184" s="99"/>
      <c r="CU184" s="99"/>
      <c r="CV184" s="99"/>
      <c r="CW184" s="99"/>
      <c r="CX184" s="99"/>
      <c r="CY184" s="99"/>
      <c r="CZ184" s="99"/>
      <c r="DA184" s="99"/>
      <c r="DB184" s="99"/>
      <c r="DC184" s="99"/>
      <c r="DD184" s="99"/>
      <c r="DE184" s="99"/>
      <c r="DF184" s="99"/>
      <c r="DG184" s="99"/>
      <c r="DH184" s="99"/>
      <c r="DI184" s="99"/>
      <c r="DJ184" s="139"/>
      <c r="DK184" s="99"/>
      <c r="DL184" s="99"/>
      <c r="DM184" s="99"/>
      <c r="DN184" s="99"/>
      <c r="DO184" s="99"/>
      <c r="DP184" s="99"/>
      <c r="DQ184" s="99"/>
    </row>
    <row r="185" ht="12.0" customHeight="1">
      <c r="A185" s="6"/>
      <c r="B185" s="99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  <c r="BV185" s="99"/>
      <c r="BW185" s="99"/>
      <c r="BX185" s="99"/>
      <c r="BY185" s="99"/>
      <c r="BZ185" s="99"/>
      <c r="CA185" s="99"/>
      <c r="CB185" s="99"/>
      <c r="CC185" s="99"/>
      <c r="CD185" s="99"/>
      <c r="CE185" s="99"/>
      <c r="CF185" s="99"/>
      <c r="CG185" s="99"/>
      <c r="CH185" s="99"/>
      <c r="CI185" s="99"/>
      <c r="CJ185" s="99"/>
      <c r="CK185" s="99"/>
      <c r="CL185" s="99"/>
      <c r="CM185" s="99"/>
      <c r="CN185" s="99"/>
      <c r="CO185" s="99"/>
      <c r="CP185" s="99"/>
      <c r="CQ185" s="99"/>
      <c r="CR185" s="99"/>
      <c r="CS185" s="99"/>
      <c r="CT185" s="99"/>
      <c r="CU185" s="99"/>
      <c r="CV185" s="99"/>
      <c r="CW185" s="99"/>
      <c r="CX185" s="99"/>
      <c r="CY185" s="99"/>
      <c r="CZ185" s="99"/>
      <c r="DA185" s="99"/>
      <c r="DB185" s="99"/>
      <c r="DC185" s="99"/>
      <c r="DD185" s="99"/>
      <c r="DE185" s="99"/>
      <c r="DF185" s="99"/>
      <c r="DG185" s="99"/>
      <c r="DH185" s="99"/>
      <c r="DI185" s="99"/>
      <c r="DJ185" s="139"/>
      <c r="DK185" s="99"/>
      <c r="DL185" s="99"/>
      <c r="DM185" s="99"/>
      <c r="DN185" s="99"/>
      <c r="DO185" s="99"/>
      <c r="DP185" s="99"/>
      <c r="DQ185" s="99"/>
    </row>
    <row r="186" ht="12.0" customHeight="1">
      <c r="A186" s="6"/>
      <c r="B186" s="99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  <c r="BV186" s="99"/>
      <c r="BW186" s="99"/>
      <c r="BX186" s="99"/>
      <c r="BY186" s="99"/>
      <c r="BZ186" s="99"/>
      <c r="CA186" s="99"/>
      <c r="CB186" s="99"/>
      <c r="CC186" s="99"/>
      <c r="CD186" s="99"/>
      <c r="CE186" s="99"/>
      <c r="CF186" s="99"/>
      <c r="CG186" s="99"/>
      <c r="CH186" s="99"/>
      <c r="CI186" s="99"/>
      <c r="CJ186" s="99"/>
      <c r="CK186" s="99"/>
      <c r="CL186" s="99"/>
      <c r="CM186" s="99"/>
      <c r="CN186" s="99"/>
      <c r="CO186" s="99"/>
      <c r="CP186" s="99"/>
      <c r="CQ186" s="99"/>
      <c r="CR186" s="99"/>
      <c r="CS186" s="99"/>
      <c r="CT186" s="99"/>
      <c r="CU186" s="99"/>
      <c r="CV186" s="99"/>
      <c r="CW186" s="99"/>
      <c r="CX186" s="99"/>
      <c r="CY186" s="99"/>
      <c r="CZ186" s="99"/>
      <c r="DA186" s="99"/>
      <c r="DB186" s="99"/>
      <c r="DC186" s="99"/>
      <c r="DD186" s="99"/>
      <c r="DE186" s="99"/>
      <c r="DF186" s="99"/>
      <c r="DG186" s="99"/>
      <c r="DH186" s="99"/>
      <c r="DI186" s="99"/>
      <c r="DJ186" s="139"/>
      <c r="DK186" s="99"/>
      <c r="DL186" s="99"/>
      <c r="DM186" s="99"/>
      <c r="DN186" s="99"/>
      <c r="DO186" s="99"/>
      <c r="DP186" s="99"/>
      <c r="DQ186" s="99"/>
    </row>
    <row r="187" ht="12.0" customHeight="1">
      <c r="A187" s="6"/>
      <c r="B187" s="99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99"/>
      <c r="CX187" s="99"/>
      <c r="CY187" s="99"/>
      <c r="CZ187" s="99"/>
      <c r="DA187" s="99"/>
      <c r="DB187" s="99"/>
      <c r="DC187" s="99"/>
      <c r="DD187" s="99"/>
      <c r="DE187" s="99"/>
      <c r="DF187" s="99"/>
      <c r="DG187" s="99"/>
      <c r="DH187" s="99"/>
      <c r="DI187" s="99"/>
      <c r="DJ187" s="139"/>
      <c r="DK187" s="99"/>
      <c r="DL187" s="99"/>
      <c r="DM187" s="99"/>
      <c r="DN187" s="99"/>
      <c r="DO187" s="99"/>
      <c r="DP187" s="99"/>
      <c r="DQ187" s="99"/>
    </row>
    <row r="188" ht="12.0" customHeight="1">
      <c r="A188" s="6"/>
      <c r="B188" s="99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  <c r="BV188" s="99"/>
      <c r="BW188" s="99"/>
      <c r="BX188" s="99"/>
      <c r="BY188" s="99"/>
      <c r="BZ188" s="99"/>
      <c r="CA188" s="99"/>
      <c r="CB188" s="99"/>
      <c r="CC188" s="99"/>
      <c r="CD188" s="99"/>
      <c r="CE188" s="99"/>
      <c r="CF188" s="99"/>
      <c r="CG188" s="99"/>
      <c r="CH188" s="99"/>
      <c r="CI188" s="99"/>
      <c r="CJ188" s="99"/>
      <c r="CK188" s="99"/>
      <c r="CL188" s="99"/>
      <c r="CM188" s="99"/>
      <c r="CN188" s="99"/>
      <c r="CO188" s="99"/>
      <c r="CP188" s="99"/>
      <c r="CQ188" s="99"/>
      <c r="CR188" s="99"/>
      <c r="CS188" s="99"/>
      <c r="CT188" s="99"/>
      <c r="CU188" s="99"/>
      <c r="CV188" s="99"/>
      <c r="CW188" s="99"/>
      <c r="CX188" s="99"/>
      <c r="CY188" s="99"/>
      <c r="CZ188" s="99"/>
      <c r="DA188" s="99"/>
      <c r="DB188" s="99"/>
      <c r="DC188" s="99"/>
      <c r="DD188" s="99"/>
      <c r="DE188" s="99"/>
      <c r="DF188" s="99"/>
      <c r="DG188" s="99"/>
      <c r="DH188" s="99"/>
      <c r="DI188" s="99"/>
      <c r="DJ188" s="139"/>
      <c r="DK188" s="99"/>
      <c r="DL188" s="99"/>
      <c r="DM188" s="99"/>
      <c r="DN188" s="99"/>
      <c r="DO188" s="99"/>
      <c r="DP188" s="99"/>
      <c r="DQ188" s="99"/>
    </row>
    <row r="189" ht="12.0" customHeight="1">
      <c r="A189" s="6"/>
      <c r="B189" s="99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  <c r="BV189" s="99"/>
      <c r="BW189" s="99"/>
      <c r="BX189" s="99"/>
      <c r="BY189" s="99"/>
      <c r="BZ189" s="99"/>
      <c r="CA189" s="99"/>
      <c r="CB189" s="99"/>
      <c r="CC189" s="99"/>
      <c r="CD189" s="99"/>
      <c r="CE189" s="99"/>
      <c r="CF189" s="99"/>
      <c r="CG189" s="99"/>
      <c r="CH189" s="99"/>
      <c r="CI189" s="99"/>
      <c r="CJ189" s="99"/>
      <c r="CK189" s="99"/>
      <c r="CL189" s="99"/>
      <c r="CM189" s="99"/>
      <c r="CN189" s="99"/>
      <c r="CO189" s="99"/>
      <c r="CP189" s="99"/>
      <c r="CQ189" s="99"/>
      <c r="CR189" s="99"/>
      <c r="CS189" s="99"/>
      <c r="CT189" s="99"/>
      <c r="CU189" s="99"/>
      <c r="CV189" s="99"/>
      <c r="CW189" s="99"/>
      <c r="CX189" s="99"/>
      <c r="CY189" s="99"/>
      <c r="CZ189" s="99"/>
      <c r="DA189" s="99"/>
      <c r="DB189" s="99"/>
      <c r="DC189" s="99"/>
      <c r="DD189" s="99"/>
      <c r="DE189" s="99"/>
      <c r="DF189" s="99"/>
      <c r="DG189" s="99"/>
      <c r="DH189" s="99"/>
      <c r="DI189" s="99"/>
      <c r="DJ189" s="139"/>
      <c r="DK189" s="99"/>
      <c r="DL189" s="99"/>
      <c r="DM189" s="99"/>
      <c r="DN189" s="99"/>
      <c r="DO189" s="99"/>
      <c r="DP189" s="99"/>
      <c r="DQ189" s="99"/>
    </row>
    <row r="190" ht="12.0" customHeight="1">
      <c r="A190" s="6"/>
      <c r="B190" s="99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  <c r="BT190" s="99"/>
      <c r="BU190" s="99"/>
      <c r="BV190" s="99"/>
      <c r="BW190" s="99"/>
      <c r="BX190" s="99"/>
      <c r="BY190" s="99"/>
      <c r="BZ190" s="99"/>
      <c r="CA190" s="99"/>
      <c r="CB190" s="99"/>
      <c r="CC190" s="99"/>
      <c r="CD190" s="99"/>
      <c r="CE190" s="99"/>
      <c r="CF190" s="99"/>
      <c r="CG190" s="99"/>
      <c r="CH190" s="99"/>
      <c r="CI190" s="99"/>
      <c r="CJ190" s="99"/>
      <c r="CK190" s="99"/>
      <c r="CL190" s="99"/>
      <c r="CM190" s="99"/>
      <c r="CN190" s="99"/>
      <c r="CO190" s="99"/>
      <c r="CP190" s="99"/>
      <c r="CQ190" s="99"/>
      <c r="CR190" s="99"/>
      <c r="CS190" s="99"/>
      <c r="CT190" s="99"/>
      <c r="CU190" s="99"/>
      <c r="CV190" s="99"/>
      <c r="CW190" s="99"/>
      <c r="CX190" s="99"/>
      <c r="CY190" s="99"/>
      <c r="CZ190" s="99"/>
      <c r="DA190" s="99"/>
      <c r="DB190" s="99"/>
      <c r="DC190" s="99"/>
      <c r="DD190" s="99"/>
      <c r="DE190" s="99"/>
      <c r="DF190" s="99"/>
      <c r="DG190" s="99"/>
      <c r="DH190" s="99"/>
      <c r="DI190" s="99"/>
      <c r="DJ190" s="139"/>
      <c r="DK190" s="99"/>
      <c r="DL190" s="99"/>
      <c r="DM190" s="99"/>
      <c r="DN190" s="99"/>
      <c r="DO190" s="99"/>
      <c r="DP190" s="99"/>
      <c r="DQ190" s="99"/>
    </row>
    <row r="191" ht="12.0" customHeight="1">
      <c r="A191" s="6"/>
      <c r="B191" s="99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  <c r="BT191" s="99"/>
      <c r="BU191" s="99"/>
      <c r="BV191" s="99"/>
      <c r="BW191" s="99"/>
      <c r="BX191" s="99"/>
      <c r="BY191" s="99"/>
      <c r="BZ191" s="99"/>
      <c r="CA191" s="99"/>
      <c r="CB191" s="99"/>
      <c r="CC191" s="99"/>
      <c r="CD191" s="99"/>
      <c r="CE191" s="99"/>
      <c r="CF191" s="99"/>
      <c r="CG191" s="99"/>
      <c r="CH191" s="99"/>
      <c r="CI191" s="99"/>
      <c r="CJ191" s="99"/>
      <c r="CK191" s="99"/>
      <c r="CL191" s="99"/>
      <c r="CM191" s="99"/>
      <c r="CN191" s="99"/>
      <c r="CO191" s="99"/>
      <c r="CP191" s="99"/>
      <c r="CQ191" s="99"/>
      <c r="CR191" s="99"/>
      <c r="CS191" s="99"/>
      <c r="CT191" s="99"/>
      <c r="CU191" s="99"/>
      <c r="CV191" s="99"/>
      <c r="CW191" s="99"/>
      <c r="CX191" s="99"/>
      <c r="CY191" s="99"/>
      <c r="CZ191" s="99"/>
      <c r="DA191" s="99"/>
      <c r="DB191" s="99"/>
      <c r="DC191" s="99"/>
      <c r="DD191" s="99"/>
      <c r="DE191" s="99"/>
      <c r="DF191" s="99"/>
      <c r="DG191" s="99"/>
      <c r="DH191" s="99"/>
      <c r="DI191" s="99"/>
      <c r="DJ191" s="139"/>
      <c r="DK191" s="99"/>
      <c r="DL191" s="99"/>
      <c r="DM191" s="99"/>
      <c r="DN191" s="99"/>
      <c r="DO191" s="99"/>
      <c r="DP191" s="99"/>
      <c r="DQ191" s="99"/>
    </row>
    <row r="192" ht="12.0" customHeight="1">
      <c r="A192" s="6"/>
      <c r="B192" s="99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  <c r="BU192" s="99"/>
      <c r="BV192" s="99"/>
      <c r="BW192" s="99"/>
      <c r="BX192" s="99"/>
      <c r="BY192" s="99"/>
      <c r="BZ192" s="99"/>
      <c r="CA192" s="99"/>
      <c r="CB192" s="99"/>
      <c r="CC192" s="99"/>
      <c r="CD192" s="99"/>
      <c r="CE192" s="99"/>
      <c r="CF192" s="99"/>
      <c r="CG192" s="99"/>
      <c r="CH192" s="99"/>
      <c r="CI192" s="99"/>
      <c r="CJ192" s="99"/>
      <c r="CK192" s="99"/>
      <c r="CL192" s="99"/>
      <c r="CM192" s="99"/>
      <c r="CN192" s="99"/>
      <c r="CO192" s="99"/>
      <c r="CP192" s="99"/>
      <c r="CQ192" s="99"/>
      <c r="CR192" s="99"/>
      <c r="CS192" s="99"/>
      <c r="CT192" s="99"/>
      <c r="CU192" s="99"/>
      <c r="CV192" s="99"/>
      <c r="CW192" s="99"/>
      <c r="CX192" s="99"/>
      <c r="CY192" s="99"/>
      <c r="CZ192" s="99"/>
      <c r="DA192" s="99"/>
      <c r="DB192" s="99"/>
      <c r="DC192" s="99"/>
      <c r="DD192" s="99"/>
      <c r="DE192" s="99"/>
      <c r="DF192" s="99"/>
      <c r="DG192" s="99"/>
      <c r="DH192" s="99"/>
      <c r="DI192" s="99"/>
      <c r="DJ192" s="139"/>
      <c r="DK192" s="99"/>
      <c r="DL192" s="99"/>
      <c r="DM192" s="99"/>
      <c r="DN192" s="99"/>
      <c r="DO192" s="99"/>
      <c r="DP192" s="99"/>
      <c r="DQ192" s="99"/>
    </row>
    <row r="193" ht="12.0" customHeight="1">
      <c r="A193" s="6"/>
      <c r="B193" s="99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  <c r="BP193" s="99"/>
      <c r="BQ193" s="99"/>
      <c r="BR193" s="99"/>
      <c r="BS193" s="99"/>
      <c r="BT193" s="99"/>
      <c r="BU193" s="99"/>
      <c r="BV193" s="99"/>
      <c r="BW193" s="99"/>
      <c r="BX193" s="99"/>
      <c r="BY193" s="99"/>
      <c r="BZ193" s="99"/>
      <c r="CA193" s="99"/>
      <c r="CB193" s="99"/>
      <c r="CC193" s="99"/>
      <c r="CD193" s="99"/>
      <c r="CE193" s="99"/>
      <c r="CF193" s="99"/>
      <c r="CG193" s="99"/>
      <c r="CH193" s="99"/>
      <c r="CI193" s="99"/>
      <c r="CJ193" s="99"/>
      <c r="CK193" s="99"/>
      <c r="CL193" s="99"/>
      <c r="CM193" s="99"/>
      <c r="CN193" s="99"/>
      <c r="CO193" s="99"/>
      <c r="CP193" s="99"/>
      <c r="CQ193" s="99"/>
      <c r="CR193" s="99"/>
      <c r="CS193" s="99"/>
      <c r="CT193" s="99"/>
      <c r="CU193" s="99"/>
      <c r="CV193" s="99"/>
      <c r="CW193" s="99"/>
      <c r="CX193" s="99"/>
      <c r="CY193" s="99"/>
      <c r="CZ193" s="99"/>
      <c r="DA193" s="99"/>
      <c r="DB193" s="99"/>
      <c r="DC193" s="99"/>
      <c r="DD193" s="99"/>
      <c r="DE193" s="99"/>
      <c r="DF193" s="99"/>
      <c r="DG193" s="99"/>
      <c r="DH193" s="99"/>
      <c r="DI193" s="99"/>
      <c r="DJ193" s="139"/>
      <c r="DK193" s="99"/>
      <c r="DL193" s="99"/>
      <c r="DM193" s="99"/>
      <c r="DN193" s="99"/>
      <c r="DO193" s="99"/>
      <c r="DP193" s="99"/>
      <c r="DQ193" s="99"/>
    </row>
    <row r="194" ht="12.0" customHeight="1">
      <c r="A194" s="6"/>
      <c r="B194" s="99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  <c r="BP194" s="99"/>
      <c r="BQ194" s="99"/>
      <c r="BR194" s="99"/>
      <c r="BS194" s="99"/>
      <c r="BT194" s="99"/>
      <c r="BU194" s="99"/>
      <c r="BV194" s="99"/>
      <c r="BW194" s="99"/>
      <c r="BX194" s="99"/>
      <c r="BY194" s="99"/>
      <c r="BZ194" s="99"/>
      <c r="CA194" s="99"/>
      <c r="CB194" s="99"/>
      <c r="CC194" s="99"/>
      <c r="CD194" s="99"/>
      <c r="CE194" s="99"/>
      <c r="CF194" s="99"/>
      <c r="CG194" s="99"/>
      <c r="CH194" s="99"/>
      <c r="CI194" s="99"/>
      <c r="CJ194" s="99"/>
      <c r="CK194" s="99"/>
      <c r="CL194" s="99"/>
      <c r="CM194" s="99"/>
      <c r="CN194" s="99"/>
      <c r="CO194" s="99"/>
      <c r="CP194" s="99"/>
      <c r="CQ194" s="99"/>
      <c r="CR194" s="99"/>
      <c r="CS194" s="99"/>
      <c r="CT194" s="99"/>
      <c r="CU194" s="99"/>
      <c r="CV194" s="99"/>
      <c r="CW194" s="99"/>
      <c r="CX194" s="99"/>
      <c r="CY194" s="99"/>
      <c r="CZ194" s="99"/>
      <c r="DA194" s="99"/>
      <c r="DB194" s="99"/>
      <c r="DC194" s="99"/>
      <c r="DD194" s="99"/>
      <c r="DE194" s="99"/>
      <c r="DF194" s="99"/>
      <c r="DG194" s="99"/>
      <c r="DH194" s="99"/>
      <c r="DI194" s="99"/>
      <c r="DJ194" s="139"/>
      <c r="DK194" s="99"/>
      <c r="DL194" s="99"/>
      <c r="DM194" s="99"/>
      <c r="DN194" s="99"/>
      <c r="DO194" s="99"/>
      <c r="DP194" s="99"/>
      <c r="DQ194" s="99"/>
    </row>
    <row r="195" ht="12.0" customHeight="1">
      <c r="A195" s="6"/>
      <c r="B195" s="99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  <c r="BP195" s="99"/>
      <c r="BQ195" s="99"/>
      <c r="BR195" s="99"/>
      <c r="BS195" s="99"/>
      <c r="BT195" s="99"/>
      <c r="BU195" s="99"/>
      <c r="BV195" s="99"/>
      <c r="BW195" s="99"/>
      <c r="BX195" s="99"/>
      <c r="BY195" s="99"/>
      <c r="BZ195" s="99"/>
      <c r="CA195" s="99"/>
      <c r="CB195" s="99"/>
      <c r="CC195" s="99"/>
      <c r="CD195" s="99"/>
      <c r="CE195" s="99"/>
      <c r="CF195" s="99"/>
      <c r="CG195" s="99"/>
      <c r="CH195" s="99"/>
      <c r="CI195" s="99"/>
      <c r="CJ195" s="99"/>
      <c r="CK195" s="99"/>
      <c r="CL195" s="99"/>
      <c r="CM195" s="99"/>
      <c r="CN195" s="99"/>
      <c r="CO195" s="99"/>
      <c r="CP195" s="99"/>
      <c r="CQ195" s="99"/>
      <c r="CR195" s="99"/>
      <c r="CS195" s="99"/>
      <c r="CT195" s="99"/>
      <c r="CU195" s="99"/>
      <c r="CV195" s="99"/>
      <c r="CW195" s="99"/>
      <c r="CX195" s="99"/>
      <c r="CY195" s="99"/>
      <c r="CZ195" s="99"/>
      <c r="DA195" s="99"/>
      <c r="DB195" s="99"/>
      <c r="DC195" s="99"/>
      <c r="DD195" s="99"/>
      <c r="DE195" s="99"/>
      <c r="DF195" s="99"/>
      <c r="DG195" s="99"/>
      <c r="DH195" s="99"/>
      <c r="DI195" s="99"/>
      <c r="DJ195" s="139"/>
      <c r="DK195" s="99"/>
      <c r="DL195" s="99"/>
      <c r="DM195" s="99"/>
      <c r="DN195" s="99"/>
      <c r="DO195" s="99"/>
      <c r="DP195" s="99"/>
      <c r="DQ195" s="99"/>
    </row>
    <row r="196" ht="12.0" customHeight="1">
      <c r="A196" s="6"/>
      <c r="B196" s="99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  <c r="BT196" s="99"/>
      <c r="BU196" s="99"/>
      <c r="BV196" s="99"/>
      <c r="BW196" s="99"/>
      <c r="BX196" s="99"/>
      <c r="BY196" s="99"/>
      <c r="BZ196" s="99"/>
      <c r="CA196" s="99"/>
      <c r="CB196" s="99"/>
      <c r="CC196" s="99"/>
      <c r="CD196" s="99"/>
      <c r="CE196" s="99"/>
      <c r="CF196" s="99"/>
      <c r="CG196" s="99"/>
      <c r="CH196" s="99"/>
      <c r="CI196" s="99"/>
      <c r="CJ196" s="99"/>
      <c r="CK196" s="99"/>
      <c r="CL196" s="99"/>
      <c r="CM196" s="99"/>
      <c r="CN196" s="99"/>
      <c r="CO196" s="99"/>
      <c r="CP196" s="99"/>
      <c r="CQ196" s="99"/>
      <c r="CR196" s="99"/>
      <c r="CS196" s="99"/>
      <c r="CT196" s="99"/>
      <c r="CU196" s="99"/>
      <c r="CV196" s="99"/>
      <c r="CW196" s="99"/>
      <c r="CX196" s="99"/>
      <c r="CY196" s="99"/>
      <c r="CZ196" s="99"/>
      <c r="DA196" s="99"/>
      <c r="DB196" s="99"/>
      <c r="DC196" s="99"/>
      <c r="DD196" s="99"/>
      <c r="DE196" s="99"/>
      <c r="DF196" s="99"/>
      <c r="DG196" s="99"/>
      <c r="DH196" s="99"/>
      <c r="DI196" s="99"/>
      <c r="DJ196" s="139"/>
      <c r="DK196" s="99"/>
      <c r="DL196" s="99"/>
      <c r="DM196" s="99"/>
      <c r="DN196" s="99"/>
      <c r="DO196" s="99"/>
      <c r="DP196" s="99"/>
      <c r="DQ196" s="99"/>
    </row>
    <row r="197" ht="12.0" customHeight="1">
      <c r="A197" s="6"/>
      <c r="B197" s="99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  <c r="BV197" s="99"/>
      <c r="BW197" s="99"/>
      <c r="BX197" s="99"/>
      <c r="BY197" s="99"/>
      <c r="BZ197" s="99"/>
      <c r="CA197" s="99"/>
      <c r="CB197" s="99"/>
      <c r="CC197" s="99"/>
      <c r="CD197" s="99"/>
      <c r="CE197" s="99"/>
      <c r="CF197" s="99"/>
      <c r="CG197" s="99"/>
      <c r="CH197" s="99"/>
      <c r="CI197" s="99"/>
      <c r="CJ197" s="99"/>
      <c r="CK197" s="99"/>
      <c r="CL197" s="99"/>
      <c r="CM197" s="99"/>
      <c r="CN197" s="99"/>
      <c r="CO197" s="99"/>
      <c r="CP197" s="99"/>
      <c r="CQ197" s="99"/>
      <c r="CR197" s="99"/>
      <c r="CS197" s="99"/>
      <c r="CT197" s="99"/>
      <c r="CU197" s="99"/>
      <c r="CV197" s="99"/>
      <c r="CW197" s="99"/>
      <c r="CX197" s="99"/>
      <c r="CY197" s="99"/>
      <c r="CZ197" s="99"/>
      <c r="DA197" s="99"/>
      <c r="DB197" s="99"/>
      <c r="DC197" s="99"/>
      <c r="DD197" s="99"/>
      <c r="DE197" s="99"/>
      <c r="DF197" s="99"/>
      <c r="DG197" s="99"/>
      <c r="DH197" s="99"/>
      <c r="DI197" s="99"/>
      <c r="DJ197" s="139"/>
      <c r="DK197" s="99"/>
      <c r="DL197" s="99"/>
      <c r="DM197" s="99"/>
      <c r="DN197" s="99"/>
      <c r="DO197" s="99"/>
      <c r="DP197" s="99"/>
      <c r="DQ197" s="99"/>
    </row>
    <row r="198" ht="12.0" customHeight="1">
      <c r="A198" s="6"/>
      <c r="B198" s="99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  <c r="BP198" s="99"/>
      <c r="BQ198" s="99"/>
      <c r="BR198" s="99"/>
      <c r="BS198" s="99"/>
      <c r="BT198" s="99"/>
      <c r="BU198" s="99"/>
      <c r="BV198" s="99"/>
      <c r="BW198" s="99"/>
      <c r="BX198" s="99"/>
      <c r="BY198" s="99"/>
      <c r="BZ198" s="99"/>
      <c r="CA198" s="99"/>
      <c r="CB198" s="99"/>
      <c r="CC198" s="99"/>
      <c r="CD198" s="99"/>
      <c r="CE198" s="99"/>
      <c r="CF198" s="99"/>
      <c r="CG198" s="99"/>
      <c r="CH198" s="99"/>
      <c r="CI198" s="99"/>
      <c r="CJ198" s="99"/>
      <c r="CK198" s="99"/>
      <c r="CL198" s="99"/>
      <c r="CM198" s="99"/>
      <c r="CN198" s="99"/>
      <c r="CO198" s="99"/>
      <c r="CP198" s="99"/>
      <c r="CQ198" s="99"/>
      <c r="CR198" s="99"/>
      <c r="CS198" s="99"/>
      <c r="CT198" s="99"/>
      <c r="CU198" s="99"/>
      <c r="CV198" s="99"/>
      <c r="CW198" s="99"/>
      <c r="CX198" s="99"/>
      <c r="CY198" s="99"/>
      <c r="CZ198" s="99"/>
      <c r="DA198" s="99"/>
      <c r="DB198" s="99"/>
      <c r="DC198" s="99"/>
      <c r="DD198" s="99"/>
      <c r="DE198" s="99"/>
      <c r="DF198" s="99"/>
      <c r="DG198" s="99"/>
      <c r="DH198" s="99"/>
      <c r="DI198" s="99"/>
      <c r="DJ198" s="139"/>
      <c r="DK198" s="99"/>
      <c r="DL198" s="99"/>
      <c r="DM198" s="99"/>
      <c r="DN198" s="99"/>
      <c r="DO198" s="99"/>
      <c r="DP198" s="99"/>
      <c r="DQ198" s="99"/>
    </row>
    <row r="199" ht="12.0" customHeight="1">
      <c r="A199" s="6"/>
      <c r="B199" s="99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  <c r="BL199" s="99"/>
      <c r="BM199" s="99"/>
      <c r="BN199" s="99"/>
      <c r="BO199" s="99"/>
      <c r="BP199" s="99"/>
      <c r="BQ199" s="99"/>
      <c r="BR199" s="99"/>
      <c r="BS199" s="99"/>
      <c r="BT199" s="99"/>
      <c r="BU199" s="99"/>
      <c r="BV199" s="99"/>
      <c r="BW199" s="99"/>
      <c r="BX199" s="99"/>
      <c r="BY199" s="99"/>
      <c r="BZ199" s="99"/>
      <c r="CA199" s="99"/>
      <c r="CB199" s="99"/>
      <c r="CC199" s="99"/>
      <c r="CD199" s="99"/>
      <c r="CE199" s="99"/>
      <c r="CF199" s="99"/>
      <c r="CG199" s="99"/>
      <c r="CH199" s="99"/>
      <c r="CI199" s="99"/>
      <c r="CJ199" s="99"/>
      <c r="CK199" s="99"/>
      <c r="CL199" s="99"/>
      <c r="CM199" s="99"/>
      <c r="CN199" s="99"/>
      <c r="CO199" s="99"/>
      <c r="CP199" s="99"/>
      <c r="CQ199" s="99"/>
      <c r="CR199" s="99"/>
      <c r="CS199" s="99"/>
      <c r="CT199" s="99"/>
      <c r="CU199" s="99"/>
      <c r="CV199" s="99"/>
      <c r="CW199" s="99"/>
      <c r="CX199" s="99"/>
      <c r="CY199" s="99"/>
      <c r="CZ199" s="99"/>
      <c r="DA199" s="99"/>
      <c r="DB199" s="99"/>
      <c r="DC199" s="99"/>
      <c r="DD199" s="99"/>
      <c r="DE199" s="99"/>
      <c r="DF199" s="99"/>
      <c r="DG199" s="99"/>
      <c r="DH199" s="99"/>
      <c r="DI199" s="99"/>
      <c r="DJ199" s="139"/>
      <c r="DK199" s="99"/>
      <c r="DL199" s="99"/>
      <c r="DM199" s="99"/>
      <c r="DN199" s="99"/>
      <c r="DO199" s="99"/>
      <c r="DP199" s="99"/>
      <c r="DQ199" s="99"/>
    </row>
    <row r="200" ht="12.0" customHeight="1">
      <c r="A200" s="6"/>
      <c r="B200" s="99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  <c r="BL200" s="99"/>
      <c r="BM200" s="99"/>
      <c r="BN200" s="99"/>
      <c r="BO200" s="99"/>
      <c r="BP200" s="99"/>
      <c r="BQ200" s="99"/>
      <c r="BR200" s="99"/>
      <c r="BS200" s="99"/>
      <c r="BT200" s="99"/>
      <c r="BU200" s="99"/>
      <c r="BV200" s="99"/>
      <c r="BW200" s="99"/>
      <c r="BX200" s="99"/>
      <c r="BY200" s="99"/>
      <c r="BZ200" s="99"/>
      <c r="CA200" s="99"/>
      <c r="CB200" s="99"/>
      <c r="CC200" s="99"/>
      <c r="CD200" s="99"/>
      <c r="CE200" s="99"/>
      <c r="CF200" s="99"/>
      <c r="CG200" s="99"/>
      <c r="CH200" s="99"/>
      <c r="CI200" s="99"/>
      <c r="CJ200" s="99"/>
      <c r="CK200" s="99"/>
      <c r="CL200" s="99"/>
      <c r="CM200" s="99"/>
      <c r="CN200" s="99"/>
      <c r="CO200" s="99"/>
      <c r="CP200" s="99"/>
      <c r="CQ200" s="99"/>
      <c r="CR200" s="99"/>
      <c r="CS200" s="99"/>
      <c r="CT200" s="99"/>
      <c r="CU200" s="99"/>
      <c r="CV200" s="99"/>
      <c r="CW200" s="99"/>
      <c r="CX200" s="99"/>
      <c r="CY200" s="99"/>
      <c r="CZ200" s="99"/>
      <c r="DA200" s="99"/>
      <c r="DB200" s="99"/>
      <c r="DC200" s="99"/>
      <c r="DD200" s="99"/>
      <c r="DE200" s="99"/>
      <c r="DF200" s="99"/>
      <c r="DG200" s="99"/>
      <c r="DH200" s="99"/>
      <c r="DI200" s="99"/>
      <c r="DJ200" s="139"/>
      <c r="DK200" s="99"/>
      <c r="DL200" s="99"/>
      <c r="DM200" s="99"/>
      <c r="DN200" s="99"/>
      <c r="DO200" s="99"/>
      <c r="DP200" s="99"/>
      <c r="DQ200" s="99"/>
    </row>
    <row r="201" ht="12.0" customHeight="1">
      <c r="A201" s="6"/>
      <c r="B201" s="99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  <c r="BP201" s="99"/>
      <c r="BQ201" s="99"/>
      <c r="BR201" s="99"/>
      <c r="BS201" s="99"/>
      <c r="BT201" s="99"/>
      <c r="BU201" s="99"/>
      <c r="BV201" s="99"/>
      <c r="BW201" s="99"/>
      <c r="BX201" s="99"/>
      <c r="BY201" s="99"/>
      <c r="BZ201" s="99"/>
      <c r="CA201" s="99"/>
      <c r="CB201" s="99"/>
      <c r="CC201" s="99"/>
      <c r="CD201" s="99"/>
      <c r="CE201" s="99"/>
      <c r="CF201" s="99"/>
      <c r="CG201" s="99"/>
      <c r="CH201" s="99"/>
      <c r="CI201" s="99"/>
      <c r="CJ201" s="99"/>
      <c r="CK201" s="99"/>
      <c r="CL201" s="99"/>
      <c r="CM201" s="99"/>
      <c r="CN201" s="99"/>
      <c r="CO201" s="99"/>
      <c r="CP201" s="99"/>
      <c r="CQ201" s="99"/>
      <c r="CR201" s="99"/>
      <c r="CS201" s="99"/>
      <c r="CT201" s="99"/>
      <c r="CU201" s="99"/>
      <c r="CV201" s="99"/>
      <c r="CW201" s="99"/>
      <c r="CX201" s="99"/>
      <c r="CY201" s="99"/>
      <c r="CZ201" s="99"/>
      <c r="DA201" s="99"/>
      <c r="DB201" s="99"/>
      <c r="DC201" s="99"/>
      <c r="DD201" s="99"/>
      <c r="DE201" s="99"/>
      <c r="DF201" s="99"/>
      <c r="DG201" s="99"/>
      <c r="DH201" s="99"/>
      <c r="DI201" s="99"/>
      <c r="DJ201" s="139"/>
      <c r="DK201" s="99"/>
      <c r="DL201" s="99"/>
      <c r="DM201" s="99"/>
      <c r="DN201" s="99"/>
      <c r="DO201" s="99"/>
      <c r="DP201" s="99"/>
      <c r="DQ201" s="99"/>
    </row>
    <row r="202" ht="12.0" customHeight="1">
      <c r="A202" s="6"/>
      <c r="B202" s="99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  <c r="BL202" s="99"/>
      <c r="BM202" s="99"/>
      <c r="BN202" s="99"/>
      <c r="BO202" s="99"/>
      <c r="BP202" s="99"/>
      <c r="BQ202" s="99"/>
      <c r="BR202" s="99"/>
      <c r="BS202" s="99"/>
      <c r="BT202" s="99"/>
      <c r="BU202" s="99"/>
      <c r="BV202" s="99"/>
      <c r="BW202" s="99"/>
      <c r="BX202" s="99"/>
      <c r="BY202" s="99"/>
      <c r="BZ202" s="99"/>
      <c r="CA202" s="99"/>
      <c r="CB202" s="99"/>
      <c r="CC202" s="99"/>
      <c r="CD202" s="99"/>
      <c r="CE202" s="99"/>
      <c r="CF202" s="99"/>
      <c r="CG202" s="99"/>
      <c r="CH202" s="99"/>
      <c r="CI202" s="99"/>
      <c r="CJ202" s="99"/>
      <c r="CK202" s="99"/>
      <c r="CL202" s="99"/>
      <c r="CM202" s="99"/>
      <c r="CN202" s="99"/>
      <c r="CO202" s="99"/>
      <c r="CP202" s="99"/>
      <c r="CQ202" s="99"/>
      <c r="CR202" s="99"/>
      <c r="CS202" s="99"/>
      <c r="CT202" s="99"/>
      <c r="CU202" s="99"/>
      <c r="CV202" s="99"/>
      <c r="CW202" s="99"/>
      <c r="CX202" s="99"/>
      <c r="CY202" s="99"/>
      <c r="CZ202" s="99"/>
      <c r="DA202" s="99"/>
      <c r="DB202" s="99"/>
      <c r="DC202" s="99"/>
      <c r="DD202" s="99"/>
      <c r="DE202" s="99"/>
      <c r="DF202" s="99"/>
      <c r="DG202" s="99"/>
      <c r="DH202" s="99"/>
      <c r="DI202" s="99"/>
      <c r="DJ202" s="139"/>
      <c r="DK202" s="99"/>
      <c r="DL202" s="99"/>
      <c r="DM202" s="99"/>
      <c r="DN202" s="99"/>
      <c r="DO202" s="99"/>
      <c r="DP202" s="99"/>
      <c r="DQ202" s="99"/>
    </row>
    <row r="203" ht="12.0" customHeight="1">
      <c r="A203" s="6"/>
      <c r="B203" s="99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  <c r="BL203" s="99"/>
      <c r="BM203" s="99"/>
      <c r="BN203" s="99"/>
      <c r="BO203" s="99"/>
      <c r="BP203" s="99"/>
      <c r="BQ203" s="99"/>
      <c r="BR203" s="99"/>
      <c r="BS203" s="99"/>
      <c r="BT203" s="99"/>
      <c r="BU203" s="99"/>
      <c r="BV203" s="99"/>
      <c r="BW203" s="99"/>
      <c r="BX203" s="99"/>
      <c r="BY203" s="99"/>
      <c r="BZ203" s="99"/>
      <c r="CA203" s="99"/>
      <c r="CB203" s="99"/>
      <c r="CC203" s="99"/>
      <c r="CD203" s="99"/>
      <c r="CE203" s="99"/>
      <c r="CF203" s="99"/>
      <c r="CG203" s="99"/>
      <c r="CH203" s="99"/>
      <c r="CI203" s="99"/>
      <c r="CJ203" s="99"/>
      <c r="CK203" s="99"/>
      <c r="CL203" s="99"/>
      <c r="CM203" s="99"/>
      <c r="CN203" s="99"/>
      <c r="CO203" s="99"/>
      <c r="CP203" s="99"/>
      <c r="CQ203" s="99"/>
      <c r="CR203" s="99"/>
      <c r="CS203" s="99"/>
      <c r="CT203" s="99"/>
      <c r="CU203" s="99"/>
      <c r="CV203" s="99"/>
      <c r="CW203" s="99"/>
      <c r="CX203" s="99"/>
      <c r="CY203" s="99"/>
      <c r="CZ203" s="99"/>
      <c r="DA203" s="99"/>
      <c r="DB203" s="99"/>
      <c r="DC203" s="99"/>
      <c r="DD203" s="99"/>
      <c r="DE203" s="99"/>
      <c r="DF203" s="99"/>
      <c r="DG203" s="99"/>
      <c r="DH203" s="99"/>
      <c r="DI203" s="99"/>
      <c r="DJ203" s="139"/>
      <c r="DK203" s="99"/>
      <c r="DL203" s="99"/>
      <c r="DM203" s="99"/>
      <c r="DN203" s="99"/>
      <c r="DO203" s="99"/>
      <c r="DP203" s="99"/>
      <c r="DQ203" s="99"/>
    </row>
    <row r="204" ht="12.0" customHeight="1">
      <c r="A204" s="6"/>
      <c r="B204" s="99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  <c r="BL204" s="99"/>
      <c r="BM204" s="99"/>
      <c r="BN204" s="99"/>
      <c r="BO204" s="99"/>
      <c r="BP204" s="99"/>
      <c r="BQ204" s="99"/>
      <c r="BR204" s="99"/>
      <c r="BS204" s="99"/>
      <c r="BT204" s="99"/>
      <c r="BU204" s="99"/>
      <c r="BV204" s="99"/>
      <c r="BW204" s="99"/>
      <c r="BX204" s="99"/>
      <c r="BY204" s="99"/>
      <c r="BZ204" s="99"/>
      <c r="CA204" s="99"/>
      <c r="CB204" s="99"/>
      <c r="CC204" s="99"/>
      <c r="CD204" s="99"/>
      <c r="CE204" s="99"/>
      <c r="CF204" s="99"/>
      <c r="CG204" s="99"/>
      <c r="CH204" s="99"/>
      <c r="CI204" s="99"/>
      <c r="CJ204" s="99"/>
      <c r="CK204" s="99"/>
      <c r="CL204" s="99"/>
      <c r="CM204" s="99"/>
      <c r="CN204" s="99"/>
      <c r="CO204" s="99"/>
      <c r="CP204" s="99"/>
      <c r="CQ204" s="99"/>
      <c r="CR204" s="99"/>
      <c r="CS204" s="99"/>
      <c r="CT204" s="99"/>
      <c r="CU204" s="99"/>
      <c r="CV204" s="99"/>
      <c r="CW204" s="99"/>
      <c r="CX204" s="99"/>
      <c r="CY204" s="99"/>
      <c r="CZ204" s="99"/>
      <c r="DA204" s="99"/>
      <c r="DB204" s="99"/>
      <c r="DC204" s="99"/>
      <c r="DD204" s="99"/>
      <c r="DE204" s="99"/>
      <c r="DF204" s="99"/>
      <c r="DG204" s="99"/>
      <c r="DH204" s="99"/>
      <c r="DI204" s="99"/>
      <c r="DJ204" s="139"/>
      <c r="DK204" s="99"/>
      <c r="DL204" s="99"/>
      <c r="DM204" s="99"/>
      <c r="DN204" s="99"/>
      <c r="DO204" s="99"/>
      <c r="DP204" s="99"/>
      <c r="DQ204" s="99"/>
    </row>
    <row r="205" ht="12.0" customHeight="1">
      <c r="A205" s="6"/>
      <c r="B205" s="99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  <c r="BL205" s="99"/>
      <c r="BM205" s="99"/>
      <c r="BN205" s="99"/>
      <c r="BO205" s="99"/>
      <c r="BP205" s="99"/>
      <c r="BQ205" s="99"/>
      <c r="BR205" s="99"/>
      <c r="BS205" s="99"/>
      <c r="BT205" s="99"/>
      <c r="BU205" s="99"/>
      <c r="BV205" s="99"/>
      <c r="BW205" s="99"/>
      <c r="BX205" s="99"/>
      <c r="BY205" s="99"/>
      <c r="BZ205" s="99"/>
      <c r="CA205" s="99"/>
      <c r="CB205" s="99"/>
      <c r="CC205" s="99"/>
      <c r="CD205" s="99"/>
      <c r="CE205" s="99"/>
      <c r="CF205" s="99"/>
      <c r="CG205" s="99"/>
      <c r="CH205" s="99"/>
      <c r="CI205" s="99"/>
      <c r="CJ205" s="99"/>
      <c r="CK205" s="99"/>
      <c r="CL205" s="99"/>
      <c r="CM205" s="99"/>
      <c r="CN205" s="99"/>
      <c r="CO205" s="99"/>
      <c r="CP205" s="99"/>
      <c r="CQ205" s="99"/>
      <c r="CR205" s="99"/>
      <c r="CS205" s="99"/>
      <c r="CT205" s="99"/>
      <c r="CU205" s="99"/>
      <c r="CV205" s="99"/>
      <c r="CW205" s="99"/>
      <c r="CX205" s="99"/>
      <c r="CY205" s="99"/>
      <c r="CZ205" s="99"/>
      <c r="DA205" s="99"/>
      <c r="DB205" s="99"/>
      <c r="DC205" s="99"/>
      <c r="DD205" s="99"/>
      <c r="DE205" s="99"/>
      <c r="DF205" s="99"/>
      <c r="DG205" s="99"/>
      <c r="DH205" s="99"/>
      <c r="DI205" s="99"/>
      <c r="DJ205" s="139"/>
      <c r="DK205" s="99"/>
      <c r="DL205" s="99"/>
      <c r="DM205" s="99"/>
      <c r="DN205" s="99"/>
      <c r="DO205" s="99"/>
      <c r="DP205" s="99"/>
      <c r="DQ205" s="99"/>
    </row>
    <row r="206" ht="12.0" customHeight="1">
      <c r="A206" s="6"/>
      <c r="B206" s="99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  <c r="BL206" s="99"/>
      <c r="BM206" s="99"/>
      <c r="BN206" s="99"/>
      <c r="BO206" s="99"/>
      <c r="BP206" s="99"/>
      <c r="BQ206" s="99"/>
      <c r="BR206" s="99"/>
      <c r="BS206" s="99"/>
      <c r="BT206" s="99"/>
      <c r="BU206" s="99"/>
      <c r="BV206" s="99"/>
      <c r="BW206" s="99"/>
      <c r="BX206" s="99"/>
      <c r="BY206" s="99"/>
      <c r="BZ206" s="99"/>
      <c r="CA206" s="99"/>
      <c r="CB206" s="99"/>
      <c r="CC206" s="99"/>
      <c r="CD206" s="99"/>
      <c r="CE206" s="99"/>
      <c r="CF206" s="99"/>
      <c r="CG206" s="99"/>
      <c r="CH206" s="99"/>
      <c r="CI206" s="99"/>
      <c r="CJ206" s="99"/>
      <c r="CK206" s="99"/>
      <c r="CL206" s="99"/>
      <c r="CM206" s="99"/>
      <c r="CN206" s="99"/>
      <c r="CO206" s="99"/>
      <c r="CP206" s="99"/>
      <c r="CQ206" s="99"/>
      <c r="CR206" s="99"/>
      <c r="CS206" s="99"/>
      <c r="CT206" s="99"/>
      <c r="CU206" s="99"/>
      <c r="CV206" s="99"/>
      <c r="CW206" s="99"/>
      <c r="CX206" s="99"/>
      <c r="CY206" s="99"/>
      <c r="CZ206" s="99"/>
      <c r="DA206" s="99"/>
      <c r="DB206" s="99"/>
      <c r="DC206" s="99"/>
      <c r="DD206" s="99"/>
      <c r="DE206" s="99"/>
      <c r="DF206" s="99"/>
      <c r="DG206" s="99"/>
      <c r="DH206" s="99"/>
      <c r="DI206" s="99"/>
      <c r="DJ206" s="139"/>
      <c r="DK206" s="99"/>
      <c r="DL206" s="99"/>
      <c r="DM206" s="99"/>
      <c r="DN206" s="99"/>
      <c r="DO206" s="99"/>
      <c r="DP206" s="99"/>
      <c r="DQ206" s="99"/>
    </row>
    <row r="207" ht="12.0" customHeight="1">
      <c r="A207" s="6"/>
      <c r="B207" s="99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  <c r="BL207" s="99"/>
      <c r="BM207" s="99"/>
      <c r="BN207" s="99"/>
      <c r="BO207" s="99"/>
      <c r="BP207" s="99"/>
      <c r="BQ207" s="99"/>
      <c r="BR207" s="99"/>
      <c r="BS207" s="99"/>
      <c r="BT207" s="99"/>
      <c r="BU207" s="99"/>
      <c r="BV207" s="99"/>
      <c r="BW207" s="99"/>
      <c r="BX207" s="99"/>
      <c r="BY207" s="99"/>
      <c r="BZ207" s="99"/>
      <c r="CA207" s="99"/>
      <c r="CB207" s="99"/>
      <c r="CC207" s="99"/>
      <c r="CD207" s="99"/>
      <c r="CE207" s="99"/>
      <c r="CF207" s="99"/>
      <c r="CG207" s="99"/>
      <c r="CH207" s="99"/>
      <c r="CI207" s="99"/>
      <c r="CJ207" s="99"/>
      <c r="CK207" s="99"/>
      <c r="CL207" s="99"/>
      <c r="CM207" s="99"/>
      <c r="CN207" s="99"/>
      <c r="CO207" s="99"/>
      <c r="CP207" s="99"/>
      <c r="CQ207" s="99"/>
      <c r="CR207" s="99"/>
      <c r="CS207" s="99"/>
      <c r="CT207" s="99"/>
      <c r="CU207" s="99"/>
      <c r="CV207" s="99"/>
      <c r="CW207" s="99"/>
      <c r="CX207" s="99"/>
      <c r="CY207" s="99"/>
      <c r="CZ207" s="99"/>
      <c r="DA207" s="99"/>
      <c r="DB207" s="99"/>
      <c r="DC207" s="99"/>
      <c r="DD207" s="99"/>
      <c r="DE207" s="99"/>
      <c r="DF207" s="99"/>
      <c r="DG207" s="99"/>
      <c r="DH207" s="99"/>
      <c r="DI207" s="99"/>
      <c r="DJ207" s="139"/>
      <c r="DK207" s="99"/>
      <c r="DL207" s="99"/>
      <c r="DM207" s="99"/>
      <c r="DN207" s="99"/>
      <c r="DO207" s="99"/>
      <c r="DP207" s="99"/>
      <c r="DQ207" s="99"/>
    </row>
    <row r="208" ht="12.0" customHeight="1">
      <c r="A208" s="6"/>
      <c r="B208" s="99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  <c r="BL208" s="99"/>
      <c r="BM208" s="99"/>
      <c r="BN208" s="99"/>
      <c r="BO208" s="99"/>
      <c r="BP208" s="99"/>
      <c r="BQ208" s="99"/>
      <c r="BR208" s="99"/>
      <c r="BS208" s="99"/>
      <c r="BT208" s="99"/>
      <c r="BU208" s="99"/>
      <c r="BV208" s="99"/>
      <c r="BW208" s="99"/>
      <c r="BX208" s="99"/>
      <c r="BY208" s="99"/>
      <c r="BZ208" s="99"/>
      <c r="CA208" s="99"/>
      <c r="CB208" s="99"/>
      <c r="CC208" s="99"/>
      <c r="CD208" s="99"/>
      <c r="CE208" s="99"/>
      <c r="CF208" s="99"/>
      <c r="CG208" s="99"/>
      <c r="CH208" s="99"/>
      <c r="CI208" s="99"/>
      <c r="CJ208" s="99"/>
      <c r="CK208" s="99"/>
      <c r="CL208" s="99"/>
      <c r="CM208" s="99"/>
      <c r="CN208" s="99"/>
      <c r="CO208" s="99"/>
      <c r="CP208" s="99"/>
      <c r="CQ208" s="99"/>
      <c r="CR208" s="99"/>
      <c r="CS208" s="99"/>
      <c r="CT208" s="99"/>
      <c r="CU208" s="99"/>
      <c r="CV208" s="99"/>
      <c r="CW208" s="99"/>
      <c r="CX208" s="99"/>
      <c r="CY208" s="99"/>
      <c r="CZ208" s="99"/>
      <c r="DA208" s="99"/>
      <c r="DB208" s="99"/>
      <c r="DC208" s="99"/>
      <c r="DD208" s="99"/>
      <c r="DE208" s="99"/>
      <c r="DF208" s="99"/>
      <c r="DG208" s="99"/>
      <c r="DH208" s="99"/>
      <c r="DI208" s="99"/>
      <c r="DJ208" s="139"/>
      <c r="DK208" s="99"/>
      <c r="DL208" s="99"/>
      <c r="DM208" s="99"/>
      <c r="DN208" s="99"/>
      <c r="DO208" s="99"/>
      <c r="DP208" s="99"/>
      <c r="DQ208" s="99"/>
    </row>
    <row r="209" ht="12.0" customHeight="1">
      <c r="A209" s="6"/>
      <c r="B209" s="99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  <c r="BL209" s="99"/>
      <c r="BM209" s="99"/>
      <c r="BN209" s="99"/>
      <c r="BO209" s="99"/>
      <c r="BP209" s="99"/>
      <c r="BQ209" s="99"/>
      <c r="BR209" s="99"/>
      <c r="BS209" s="99"/>
      <c r="BT209" s="99"/>
      <c r="BU209" s="99"/>
      <c r="BV209" s="99"/>
      <c r="BW209" s="99"/>
      <c r="BX209" s="99"/>
      <c r="BY209" s="99"/>
      <c r="BZ209" s="99"/>
      <c r="CA209" s="99"/>
      <c r="CB209" s="99"/>
      <c r="CC209" s="99"/>
      <c r="CD209" s="99"/>
      <c r="CE209" s="99"/>
      <c r="CF209" s="99"/>
      <c r="CG209" s="99"/>
      <c r="CH209" s="99"/>
      <c r="CI209" s="99"/>
      <c r="CJ209" s="99"/>
      <c r="CK209" s="99"/>
      <c r="CL209" s="99"/>
      <c r="CM209" s="99"/>
      <c r="CN209" s="99"/>
      <c r="CO209" s="99"/>
      <c r="CP209" s="99"/>
      <c r="CQ209" s="99"/>
      <c r="CR209" s="99"/>
      <c r="CS209" s="99"/>
      <c r="CT209" s="99"/>
      <c r="CU209" s="99"/>
      <c r="CV209" s="99"/>
      <c r="CW209" s="99"/>
      <c r="CX209" s="99"/>
      <c r="CY209" s="99"/>
      <c r="CZ209" s="99"/>
      <c r="DA209" s="99"/>
      <c r="DB209" s="99"/>
      <c r="DC209" s="99"/>
      <c r="DD209" s="99"/>
      <c r="DE209" s="99"/>
      <c r="DF209" s="99"/>
      <c r="DG209" s="99"/>
      <c r="DH209" s="99"/>
      <c r="DI209" s="99"/>
      <c r="DJ209" s="139"/>
      <c r="DK209" s="99"/>
      <c r="DL209" s="99"/>
      <c r="DM209" s="99"/>
      <c r="DN209" s="99"/>
      <c r="DO209" s="99"/>
      <c r="DP209" s="99"/>
      <c r="DQ209" s="99"/>
    </row>
    <row r="210" ht="12.0" customHeight="1">
      <c r="A210" s="6"/>
      <c r="B210" s="99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  <c r="BL210" s="99"/>
      <c r="BM210" s="99"/>
      <c r="BN210" s="99"/>
      <c r="BO210" s="99"/>
      <c r="BP210" s="99"/>
      <c r="BQ210" s="99"/>
      <c r="BR210" s="99"/>
      <c r="BS210" s="99"/>
      <c r="BT210" s="99"/>
      <c r="BU210" s="99"/>
      <c r="BV210" s="99"/>
      <c r="BW210" s="99"/>
      <c r="BX210" s="99"/>
      <c r="BY210" s="99"/>
      <c r="BZ210" s="99"/>
      <c r="CA210" s="99"/>
      <c r="CB210" s="99"/>
      <c r="CC210" s="99"/>
      <c r="CD210" s="99"/>
      <c r="CE210" s="99"/>
      <c r="CF210" s="99"/>
      <c r="CG210" s="99"/>
      <c r="CH210" s="99"/>
      <c r="CI210" s="99"/>
      <c r="CJ210" s="99"/>
      <c r="CK210" s="99"/>
      <c r="CL210" s="99"/>
      <c r="CM210" s="99"/>
      <c r="CN210" s="99"/>
      <c r="CO210" s="99"/>
      <c r="CP210" s="99"/>
      <c r="CQ210" s="99"/>
      <c r="CR210" s="99"/>
      <c r="CS210" s="99"/>
      <c r="CT210" s="99"/>
      <c r="CU210" s="99"/>
      <c r="CV210" s="99"/>
      <c r="CW210" s="99"/>
      <c r="CX210" s="99"/>
      <c r="CY210" s="99"/>
      <c r="CZ210" s="99"/>
      <c r="DA210" s="99"/>
      <c r="DB210" s="99"/>
      <c r="DC210" s="99"/>
      <c r="DD210" s="99"/>
      <c r="DE210" s="99"/>
      <c r="DF210" s="99"/>
      <c r="DG210" s="99"/>
      <c r="DH210" s="99"/>
      <c r="DI210" s="99"/>
      <c r="DJ210" s="139"/>
      <c r="DK210" s="99"/>
      <c r="DL210" s="99"/>
      <c r="DM210" s="99"/>
      <c r="DN210" s="99"/>
      <c r="DO210" s="99"/>
      <c r="DP210" s="99"/>
      <c r="DQ210" s="99"/>
    </row>
    <row r="211" ht="12.0" customHeight="1">
      <c r="A211" s="6"/>
      <c r="B211" s="99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  <c r="BL211" s="99"/>
      <c r="BM211" s="99"/>
      <c r="BN211" s="99"/>
      <c r="BO211" s="99"/>
      <c r="BP211" s="99"/>
      <c r="BQ211" s="99"/>
      <c r="BR211" s="99"/>
      <c r="BS211" s="99"/>
      <c r="BT211" s="99"/>
      <c r="BU211" s="99"/>
      <c r="BV211" s="99"/>
      <c r="BW211" s="99"/>
      <c r="BX211" s="99"/>
      <c r="BY211" s="99"/>
      <c r="BZ211" s="99"/>
      <c r="CA211" s="99"/>
      <c r="CB211" s="99"/>
      <c r="CC211" s="99"/>
      <c r="CD211" s="99"/>
      <c r="CE211" s="99"/>
      <c r="CF211" s="99"/>
      <c r="CG211" s="99"/>
      <c r="CH211" s="99"/>
      <c r="CI211" s="99"/>
      <c r="CJ211" s="99"/>
      <c r="CK211" s="99"/>
      <c r="CL211" s="99"/>
      <c r="CM211" s="99"/>
      <c r="CN211" s="99"/>
      <c r="CO211" s="99"/>
      <c r="CP211" s="99"/>
      <c r="CQ211" s="99"/>
      <c r="CR211" s="99"/>
      <c r="CS211" s="99"/>
      <c r="CT211" s="99"/>
      <c r="CU211" s="99"/>
      <c r="CV211" s="99"/>
      <c r="CW211" s="99"/>
      <c r="CX211" s="99"/>
      <c r="CY211" s="99"/>
      <c r="CZ211" s="99"/>
      <c r="DA211" s="99"/>
      <c r="DB211" s="99"/>
      <c r="DC211" s="99"/>
      <c r="DD211" s="99"/>
      <c r="DE211" s="99"/>
      <c r="DF211" s="99"/>
      <c r="DG211" s="99"/>
      <c r="DH211" s="99"/>
      <c r="DI211" s="99"/>
      <c r="DJ211" s="139"/>
      <c r="DK211" s="99"/>
      <c r="DL211" s="99"/>
      <c r="DM211" s="99"/>
      <c r="DN211" s="99"/>
      <c r="DO211" s="99"/>
      <c r="DP211" s="99"/>
      <c r="DQ211" s="99"/>
    </row>
    <row r="212" ht="12.0" customHeight="1">
      <c r="A212" s="6"/>
      <c r="B212" s="99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  <c r="BL212" s="99"/>
      <c r="BM212" s="99"/>
      <c r="BN212" s="99"/>
      <c r="BO212" s="99"/>
      <c r="BP212" s="99"/>
      <c r="BQ212" s="99"/>
      <c r="BR212" s="99"/>
      <c r="BS212" s="99"/>
      <c r="BT212" s="99"/>
      <c r="BU212" s="99"/>
      <c r="BV212" s="99"/>
      <c r="BW212" s="99"/>
      <c r="BX212" s="99"/>
      <c r="BY212" s="99"/>
      <c r="BZ212" s="99"/>
      <c r="CA212" s="99"/>
      <c r="CB212" s="99"/>
      <c r="CC212" s="99"/>
      <c r="CD212" s="99"/>
      <c r="CE212" s="99"/>
      <c r="CF212" s="99"/>
      <c r="CG212" s="99"/>
      <c r="CH212" s="99"/>
      <c r="CI212" s="99"/>
      <c r="CJ212" s="99"/>
      <c r="CK212" s="99"/>
      <c r="CL212" s="99"/>
      <c r="CM212" s="99"/>
      <c r="CN212" s="99"/>
      <c r="CO212" s="99"/>
      <c r="CP212" s="99"/>
      <c r="CQ212" s="99"/>
      <c r="CR212" s="99"/>
      <c r="CS212" s="99"/>
      <c r="CT212" s="99"/>
      <c r="CU212" s="99"/>
      <c r="CV212" s="99"/>
      <c r="CW212" s="99"/>
      <c r="CX212" s="99"/>
      <c r="CY212" s="99"/>
      <c r="CZ212" s="99"/>
      <c r="DA212" s="99"/>
      <c r="DB212" s="99"/>
      <c r="DC212" s="99"/>
      <c r="DD212" s="99"/>
      <c r="DE212" s="99"/>
      <c r="DF212" s="99"/>
      <c r="DG212" s="99"/>
      <c r="DH212" s="99"/>
      <c r="DI212" s="99"/>
      <c r="DJ212" s="139"/>
      <c r="DK212" s="99"/>
      <c r="DL212" s="99"/>
      <c r="DM212" s="99"/>
      <c r="DN212" s="99"/>
      <c r="DO212" s="99"/>
      <c r="DP212" s="99"/>
      <c r="DQ212" s="99"/>
    </row>
    <row r="213" ht="12.0" customHeight="1">
      <c r="A213" s="6"/>
      <c r="B213" s="99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  <c r="BL213" s="99"/>
      <c r="BM213" s="99"/>
      <c r="BN213" s="99"/>
      <c r="BO213" s="99"/>
      <c r="BP213" s="99"/>
      <c r="BQ213" s="99"/>
      <c r="BR213" s="99"/>
      <c r="BS213" s="99"/>
      <c r="BT213" s="99"/>
      <c r="BU213" s="99"/>
      <c r="BV213" s="99"/>
      <c r="BW213" s="99"/>
      <c r="BX213" s="99"/>
      <c r="BY213" s="99"/>
      <c r="BZ213" s="99"/>
      <c r="CA213" s="99"/>
      <c r="CB213" s="99"/>
      <c r="CC213" s="99"/>
      <c r="CD213" s="99"/>
      <c r="CE213" s="99"/>
      <c r="CF213" s="99"/>
      <c r="CG213" s="99"/>
      <c r="CH213" s="99"/>
      <c r="CI213" s="99"/>
      <c r="CJ213" s="99"/>
      <c r="CK213" s="99"/>
      <c r="CL213" s="99"/>
      <c r="CM213" s="99"/>
      <c r="CN213" s="99"/>
      <c r="CO213" s="99"/>
      <c r="CP213" s="99"/>
      <c r="CQ213" s="99"/>
      <c r="CR213" s="99"/>
      <c r="CS213" s="99"/>
      <c r="CT213" s="99"/>
      <c r="CU213" s="99"/>
      <c r="CV213" s="99"/>
      <c r="CW213" s="99"/>
      <c r="CX213" s="99"/>
      <c r="CY213" s="99"/>
      <c r="CZ213" s="99"/>
      <c r="DA213" s="99"/>
      <c r="DB213" s="99"/>
      <c r="DC213" s="99"/>
      <c r="DD213" s="99"/>
      <c r="DE213" s="99"/>
      <c r="DF213" s="99"/>
      <c r="DG213" s="99"/>
      <c r="DH213" s="99"/>
      <c r="DI213" s="99"/>
      <c r="DJ213" s="139"/>
      <c r="DK213" s="99"/>
      <c r="DL213" s="99"/>
      <c r="DM213" s="99"/>
      <c r="DN213" s="99"/>
      <c r="DO213" s="99"/>
      <c r="DP213" s="99"/>
      <c r="DQ213" s="99"/>
    </row>
    <row r="214" ht="12.0" customHeight="1">
      <c r="A214" s="6"/>
      <c r="B214" s="99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  <c r="BL214" s="99"/>
      <c r="BM214" s="99"/>
      <c r="BN214" s="99"/>
      <c r="BO214" s="99"/>
      <c r="BP214" s="99"/>
      <c r="BQ214" s="99"/>
      <c r="BR214" s="99"/>
      <c r="BS214" s="99"/>
      <c r="BT214" s="99"/>
      <c r="BU214" s="99"/>
      <c r="BV214" s="99"/>
      <c r="BW214" s="99"/>
      <c r="BX214" s="99"/>
      <c r="BY214" s="99"/>
      <c r="BZ214" s="99"/>
      <c r="CA214" s="99"/>
      <c r="CB214" s="99"/>
      <c r="CC214" s="99"/>
      <c r="CD214" s="99"/>
      <c r="CE214" s="99"/>
      <c r="CF214" s="99"/>
      <c r="CG214" s="99"/>
      <c r="CH214" s="99"/>
      <c r="CI214" s="99"/>
      <c r="CJ214" s="99"/>
      <c r="CK214" s="99"/>
      <c r="CL214" s="99"/>
      <c r="CM214" s="99"/>
      <c r="CN214" s="99"/>
      <c r="CO214" s="99"/>
      <c r="CP214" s="99"/>
      <c r="CQ214" s="99"/>
      <c r="CR214" s="99"/>
      <c r="CS214" s="99"/>
      <c r="CT214" s="99"/>
      <c r="CU214" s="99"/>
      <c r="CV214" s="99"/>
      <c r="CW214" s="99"/>
      <c r="CX214" s="99"/>
      <c r="CY214" s="99"/>
      <c r="CZ214" s="99"/>
      <c r="DA214" s="99"/>
      <c r="DB214" s="99"/>
      <c r="DC214" s="99"/>
      <c r="DD214" s="99"/>
      <c r="DE214" s="99"/>
      <c r="DF214" s="99"/>
      <c r="DG214" s="99"/>
      <c r="DH214" s="99"/>
      <c r="DI214" s="99"/>
      <c r="DJ214" s="139"/>
      <c r="DK214" s="99"/>
      <c r="DL214" s="99"/>
      <c r="DM214" s="99"/>
      <c r="DN214" s="99"/>
      <c r="DO214" s="99"/>
      <c r="DP214" s="99"/>
      <c r="DQ214" s="99"/>
    </row>
    <row r="215" ht="12.0" customHeight="1">
      <c r="A215" s="6"/>
      <c r="B215" s="99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  <c r="BL215" s="99"/>
      <c r="BM215" s="99"/>
      <c r="BN215" s="99"/>
      <c r="BO215" s="99"/>
      <c r="BP215" s="99"/>
      <c r="BQ215" s="99"/>
      <c r="BR215" s="99"/>
      <c r="BS215" s="99"/>
      <c r="BT215" s="99"/>
      <c r="BU215" s="99"/>
      <c r="BV215" s="99"/>
      <c r="BW215" s="99"/>
      <c r="BX215" s="99"/>
      <c r="BY215" s="99"/>
      <c r="BZ215" s="99"/>
      <c r="CA215" s="99"/>
      <c r="CB215" s="99"/>
      <c r="CC215" s="99"/>
      <c r="CD215" s="99"/>
      <c r="CE215" s="99"/>
      <c r="CF215" s="99"/>
      <c r="CG215" s="99"/>
      <c r="CH215" s="99"/>
      <c r="CI215" s="99"/>
      <c r="CJ215" s="99"/>
      <c r="CK215" s="99"/>
      <c r="CL215" s="99"/>
      <c r="CM215" s="99"/>
      <c r="CN215" s="99"/>
      <c r="CO215" s="99"/>
      <c r="CP215" s="99"/>
      <c r="CQ215" s="99"/>
      <c r="CR215" s="99"/>
      <c r="CS215" s="99"/>
      <c r="CT215" s="99"/>
      <c r="CU215" s="99"/>
      <c r="CV215" s="99"/>
      <c r="CW215" s="99"/>
      <c r="CX215" s="99"/>
      <c r="CY215" s="99"/>
      <c r="CZ215" s="99"/>
      <c r="DA215" s="99"/>
      <c r="DB215" s="99"/>
      <c r="DC215" s="99"/>
      <c r="DD215" s="99"/>
      <c r="DE215" s="99"/>
      <c r="DF215" s="99"/>
      <c r="DG215" s="99"/>
      <c r="DH215" s="99"/>
      <c r="DI215" s="99"/>
      <c r="DJ215" s="139"/>
      <c r="DK215" s="99"/>
      <c r="DL215" s="99"/>
      <c r="DM215" s="99"/>
      <c r="DN215" s="99"/>
      <c r="DO215" s="99"/>
      <c r="DP215" s="99"/>
      <c r="DQ215" s="99"/>
    </row>
    <row r="216" ht="12.0" customHeight="1">
      <c r="A216" s="6"/>
      <c r="B216" s="99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  <c r="BL216" s="99"/>
      <c r="BM216" s="99"/>
      <c r="BN216" s="99"/>
      <c r="BO216" s="99"/>
      <c r="BP216" s="99"/>
      <c r="BQ216" s="99"/>
      <c r="BR216" s="99"/>
      <c r="BS216" s="99"/>
      <c r="BT216" s="99"/>
      <c r="BU216" s="99"/>
      <c r="BV216" s="99"/>
      <c r="BW216" s="99"/>
      <c r="BX216" s="99"/>
      <c r="BY216" s="99"/>
      <c r="BZ216" s="99"/>
      <c r="CA216" s="99"/>
      <c r="CB216" s="99"/>
      <c r="CC216" s="99"/>
      <c r="CD216" s="99"/>
      <c r="CE216" s="99"/>
      <c r="CF216" s="99"/>
      <c r="CG216" s="99"/>
      <c r="CH216" s="99"/>
      <c r="CI216" s="99"/>
      <c r="CJ216" s="99"/>
      <c r="CK216" s="99"/>
      <c r="CL216" s="99"/>
      <c r="CM216" s="99"/>
      <c r="CN216" s="99"/>
      <c r="CO216" s="99"/>
      <c r="CP216" s="99"/>
      <c r="CQ216" s="99"/>
      <c r="CR216" s="99"/>
      <c r="CS216" s="99"/>
      <c r="CT216" s="99"/>
      <c r="CU216" s="99"/>
      <c r="CV216" s="99"/>
      <c r="CW216" s="99"/>
      <c r="CX216" s="99"/>
      <c r="CY216" s="99"/>
      <c r="CZ216" s="99"/>
      <c r="DA216" s="99"/>
      <c r="DB216" s="99"/>
      <c r="DC216" s="99"/>
      <c r="DD216" s="99"/>
      <c r="DE216" s="99"/>
      <c r="DF216" s="99"/>
      <c r="DG216" s="99"/>
      <c r="DH216" s="99"/>
      <c r="DI216" s="99"/>
      <c r="DJ216" s="139"/>
      <c r="DK216" s="99"/>
      <c r="DL216" s="99"/>
      <c r="DM216" s="99"/>
      <c r="DN216" s="99"/>
      <c r="DO216" s="99"/>
      <c r="DP216" s="99"/>
      <c r="DQ216" s="99"/>
    </row>
    <row r="217" ht="12.0" customHeight="1">
      <c r="A217" s="6"/>
      <c r="B217" s="99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  <c r="BL217" s="99"/>
      <c r="BM217" s="99"/>
      <c r="BN217" s="99"/>
      <c r="BO217" s="99"/>
      <c r="BP217" s="99"/>
      <c r="BQ217" s="99"/>
      <c r="BR217" s="99"/>
      <c r="BS217" s="99"/>
      <c r="BT217" s="99"/>
      <c r="BU217" s="99"/>
      <c r="BV217" s="99"/>
      <c r="BW217" s="99"/>
      <c r="BX217" s="99"/>
      <c r="BY217" s="99"/>
      <c r="BZ217" s="99"/>
      <c r="CA217" s="99"/>
      <c r="CB217" s="99"/>
      <c r="CC217" s="99"/>
      <c r="CD217" s="99"/>
      <c r="CE217" s="99"/>
      <c r="CF217" s="99"/>
      <c r="CG217" s="99"/>
      <c r="CH217" s="99"/>
      <c r="CI217" s="99"/>
      <c r="CJ217" s="99"/>
      <c r="CK217" s="99"/>
      <c r="CL217" s="99"/>
      <c r="CM217" s="99"/>
      <c r="CN217" s="99"/>
      <c r="CO217" s="99"/>
      <c r="CP217" s="99"/>
      <c r="CQ217" s="99"/>
      <c r="CR217" s="99"/>
      <c r="CS217" s="99"/>
      <c r="CT217" s="99"/>
      <c r="CU217" s="99"/>
      <c r="CV217" s="99"/>
      <c r="CW217" s="99"/>
      <c r="CX217" s="99"/>
      <c r="CY217" s="99"/>
      <c r="CZ217" s="99"/>
      <c r="DA217" s="99"/>
      <c r="DB217" s="99"/>
      <c r="DC217" s="99"/>
      <c r="DD217" s="99"/>
      <c r="DE217" s="99"/>
      <c r="DF217" s="99"/>
      <c r="DG217" s="99"/>
      <c r="DH217" s="99"/>
      <c r="DI217" s="99"/>
      <c r="DJ217" s="139"/>
      <c r="DK217" s="99"/>
      <c r="DL217" s="99"/>
      <c r="DM217" s="99"/>
      <c r="DN217" s="99"/>
      <c r="DO217" s="99"/>
      <c r="DP217" s="99"/>
      <c r="DQ217" s="99"/>
    </row>
    <row r="218" ht="12.0" customHeight="1">
      <c r="A218" s="6"/>
      <c r="B218" s="99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  <c r="BL218" s="99"/>
      <c r="BM218" s="99"/>
      <c r="BN218" s="99"/>
      <c r="BO218" s="99"/>
      <c r="BP218" s="99"/>
      <c r="BQ218" s="99"/>
      <c r="BR218" s="99"/>
      <c r="BS218" s="99"/>
      <c r="BT218" s="99"/>
      <c r="BU218" s="99"/>
      <c r="BV218" s="99"/>
      <c r="BW218" s="99"/>
      <c r="BX218" s="99"/>
      <c r="BY218" s="99"/>
      <c r="BZ218" s="99"/>
      <c r="CA218" s="99"/>
      <c r="CB218" s="99"/>
      <c r="CC218" s="99"/>
      <c r="CD218" s="99"/>
      <c r="CE218" s="99"/>
      <c r="CF218" s="99"/>
      <c r="CG218" s="99"/>
      <c r="CH218" s="99"/>
      <c r="CI218" s="99"/>
      <c r="CJ218" s="99"/>
      <c r="CK218" s="99"/>
      <c r="CL218" s="99"/>
      <c r="CM218" s="99"/>
      <c r="CN218" s="99"/>
      <c r="CO218" s="99"/>
      <c r="CP218" s="99"/>
      <c r="CQ218" s="99"/>
      <c r="CR218" s="99"/>
      <c r="CS218" s="99"/>
      <c r="CT218" s="99"/>
      <c r="CU218" s="99"/>
      <c r="CV218" s="99"/>
      <c r="CW218" s="99"/>
      <c r="CX218" s="99"/>
      <c r="CY218" s="99"/>
      <c r="CZ218" s="99"/>
      <c r="DA218" s="99"/>
      <c r="DB218" s="99"/>
      <c r="DC218" s="99"/>
      <c r="DD218" s="99"/>
      <c r="DE218" s="99"/>
      <c r="DF218" s="99"/>
      <c r="DG218" s="99"/>
      <c r="DH218" s="99"/>
      <c r="DI218" s="99"/>
      <c r="DJ218" s="139"/>
      <c r="DK218" s="99"/>
      <c r="DL218" s="99"/>
      <c r="DM218" s="99"/>
      <c r="DN218" s="99"/>
      <c r="DO218" s="99"/>
      <c r="DP218" s="99"/>
      <c r="DQ218" s="99"/>
    </row>
    <row r="219" ht="12.0" customHeight="1">
      <c r="A219" s="6"/>
      <c r="B219" s="99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  <c r="BL219" s="99"/>
      <c r="BM219" s="99"/>
      <c r="BN219" s="99"/>
      <c r="BO219" s="99"/>
      <c r="BP219" s="99"/>
      <c r="BQ219" s="99"/>
      <c r="BR219" s="99"/>
      <c r="BS219" s="99"/>
      <c r="BT219" s="99"/>
      <c r="BU219" s="99"/>
      <c r="BV219" s="99"/>
      <c r="BW219" s="99"/>
      <c r="BX219" s="99"/>
      <c r="BY219" s="99"/>
      <c r="BZ219" s="99"/>
      <c r="CA219" s="99"/>
      <c r="CB219" s="99"/>
      <c r="CC219" s="99"/>
      <c r="CD219" s="99"/>
      <c r="CE219" s="99"/>
      <c r="CF219" s="99"/>
      <c r="CG219" s="99"/>
      <c r="CH219" s="99"/>
      <c r="CI219" s="99"/>
      <c r="CJ219" s="99"/>
      <c r="CK219" s="99"/>
      <c r="CL219" s="99"/>
      <c r="CM219" s="99"/>
      <c r="CN219" s="99"/>
      <c r="CO219" s="99"/>
      <c r="CP219" s="99"/>
      <c r="CQ219" s="99"/>
      <c r="CR219" s="99"/>
      <c r="CS219" s="99"/>
      <c r="CT219" s="99"/>
      <c r="CU219" s="99"/>
      <c r="CV219" s="99"/>
      <c r="CW219" s="99"/>
      <c r="CX219" s="99"/>
      <c r="CY219" s="99"/>
      <c r="CZ219" s="99"/>
      <c r="DA219" s="99"/>
      <c r="DB219" s="99"/>
      <c r="DC219" s="99"/>
      <c r="DD219" s="99"/>
      <c r="DE219" s="99"/>
      <c r="DF219" s="99"/>
      <c r="DG219" s="99"/>
      <c r="DH219" s="99"/>
      <c r="DI219" s="99"/>
      <c r="DJ219" s="139"/>
      <c r="DK219" s="99"/>
      <c r="DL219" s="99"/>
      <c r="DM219" s="99"/>
      <c r="DN219" s="99"/>
      <c r="DO219" s="99"/>
      <c r="DP219" s="99"/>
      <c r="DQ219" s="99"/>
    </row>
    <row r="220" ht="12.0" customHeight="1">
      <c r="A220" s="6"/>
      <c r="B220" s="99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  <c r="BL220" s="99"/>
      <c r="BM220" s="99"/>
      <c r="BN220" s="99"/>
      <c r="BO220" s="99"/>
      <c r="BP220" s="99"/>
      <c r="BQ220" s="99"/>
      <c r="BR220" s="99"/>
      <c r="BS220" s="99"/>
      <c r="BT220" s="99"/>
      <c r="BU220" s="99"/>
      <c r="BV220" s="99"/>
      <c r="BW220" s="99"/>
      <c r="BX220" s="99"/>
      <c r="BY220" s="99"/>
      <c r="BZ220" s="99"/>
      <c r="CA220" s="99"/>
      <c r="CB220" s="99"/>
      <c r="CC220" s="99"/>
      <c r="CD220" s="99"/>
      <c r="CE220" s="99"/>
      <c r="CF220" s="99"/>
      <c r="CG220" s="99"/>
      <c r="CH220" s="99"/>
      <c r="CI220" s="99"/>
      <c r="CJ220" s="99"/>
      <c r="CK220" s="99"/>
      <c r="CL220" s="99"/>
      <c r="CM220" s="99"/>
      <c r="CN220" s="99"/>
      <c r="CO220" s="99"/>
      <c r="CP220" s="99"/>
      <c r="CQ220" s="99"/>
      <c r="CR220" s="99"/>
      <c r="CS220" s="99"/>
      <c r="CT220" s="99"/>
      <c r="CU220" s="99"/>
      <c r="CV220" s="99"/>
      <c r="CW220" s="99"/>
      <c r="CX220" s="99"/>
      <c r="CY220" s="99"/>
      <c r="CZ220" s="99"/>
      <c r="DA220" s="99"/>
      <c r="DB220" s="99"/>
      <c r="DC220" s="99"/>
      <c r="DD220" s="99"/>
      <c r="DE220" s="99"/>
      <c r="DF220" s="99"/>
      <c r="DG220" s="99"/>
      <c r="DH220" s="99"/>
      <c r="DI220" s="99"/>
      <c r="DJ220" s="139"/>
      <c r="DK220" s="99"/>
      <c r="DL220" s="99"/>
      <c r="DM220" s="99"/>
      <c r="DN220" s="99"/>
      <c r="DO220" s="99"/>
      <c r="DP220" s="99"/>
      <c r="DQ220" s="99"/>
    </row>
    <row r="221" ht="12.0" customHeight="1">
      <c r="A221" s="6"/>
      <c r="B221" s="99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  <c r="BL221" s="99"/>
      <c r="BM221" s="99"/>
      <c r="BN221" s="99"/>
      <c r="BO221" s="99"/>
      <c r="BP221" s="99"/>
      <c r="BQ221" s="99"/>
      <c r="BR221" s="99"/>
      <c r="BS221" s="99"/>
      <c r="BT221" s="99"/>
      <c r="BU221" s="99"/>
      <c r="BV221" s="99"/>
      <c r="BW221" s="99"/>
      <c r="BX221" s="99"/>
      <c r="BY221" s="99"/>
      <c r="BZ221" s="99"/>
      <c r="CA221" s="99"/>
      <c r="CB221" s="99"/>
      <c r="CC221" s="99"/>
      <c r="CD221" s="99"/>
      <c r="CE221" s="99"/>
      <c r="CF221" s="99"/>
      <c r="CG221" s="99"/>
      <c r="CH221" s="99"/>
      <c r="CI221" s="99"/>
      <c r="CJ221" s="99"/>
      <c r="CK221" s="99"/>
      <c r="CL221" s="99"/>
      <c r="CM221" s="99"/>
      <c r="CN221" s="99"/>
      <c r="CO221" s="99"/>
      <c r="CP221" s="99"/>
      <c r="CQ221" s="99"/>
      <c r="CR221" s="99"/>
      <c r="CS221" s="99"/>
      <c r="CT221" s="99"/>
      <c r="CU221" s="99"/>
      <c r="CV221" s="99"/>
      <c r="CW221" s="99"/>
      <c r="CX221" s="99"/>
      <c r="CY221" s="99"/>
      <c r="CZ221" s="99"/>
      <c r="DA221" s="99"/>
      <c r="DB221" s="99"/>
      <c r="DC221" s="99"/>
      <c r="DD221" s="99"/>
      <c r="DE221" s="99"/>
      <c r="DF221" s="99"/>
      <c r="DG221" s="99"/>
      <c r="DH221" s="99"/>
      <c r="DI221" s="99"/>
      <c r="DJ221" s="139"/>
      <c r="DK221" s="99"/>
      <c r="DL221" s="99"/>
      <c r="DM221" s="99"/>
      <c r="DN221" s="99"/>
      <c r="DO221" s="99"/>
      <c r="DP221" s="99"/>
      <c r="DQ221" s="99"/>
    </row>
    <row r="222" ht="12.0" customHeight="1">
      <c r="A222" s="6"/>
      <c r="B222" s="99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  <c r="BL222" s="99"/>
      <c r="BM222" s="99"/>
      <c r="BN222" s="99"/>
      <c r="BO222" s="99"/>
      <c r="BP222" s="99"/>
      <c r="BQ222" s="99"/>
      <c r="BR222" s="99"/>
      <c r="BS222" s="99"/>
      <c r="BT222" s="99"/>
      <c r="BU222" s="99"/>
      <c r="BV222" s="99"/>
      <c r="BW222" s="99"/>
      <c r="BX222" s="99"/>
      <c r="BY222" s="99"/>
      <c r="BZ222" s="99"/>
      <c r="CA222" s="99"/>
      <c r="CB222" s="99"/>
      <c r="CC222" s="99"/>
      <c r="CD222" s="99"/>
      <c r="CE222" s="99"/>
      <c r="CF222" s="99"/>
      <c r="CG222" s="99"/>
      <c r="CH222" s="99"/>
      <c r="CI222" s="99"/>
      <c r="CJ222" s="99"/>
      <c r="CK222" s="99"/>
      <c r="CL222" s="99"/>
      <c r="CM222" s="99"/>
      <c r="CN222" s="99"/>
      <c r="CO222" s="99"/>
      <c r="CP222" s="99"/>
      <c r="CQ222" s="99"/>
      <c r="CR222" s="99"/>
      <c r="CS222" s="99"/>
      <c r="CT222" s="99"/>
      <c r="CU222" s="99"/>
      <c r="CV222" s="99"/>
      <c r="CW222" s="99"/>
      <c r="CX222" s="99"/>
      <c r="CY222" s="99"/>
      <c r="CZ222" s="99"/>
      <c r="DA222" s="99"/>
      <c r="DB222" s="99"/>
      <c r="DC222" s="99"/>
      <c r="DD222" s="99"/>
      <c r="DE222" s="99"/>
      <c r="DF222" s="99"/>
      <c r="DG222" s="99"/>
      <c r="DH222" s="99"/>
      <c r="DI222" s="99"/>
      <c r="DJ222" s="139"/>
      <c r="DK222" s="99"/>
      <c r="DL222" s="99"/>
      <c r="DM222" s="99"/>
      <c r="DN222" s="99"/>
      <c r="DO222" s="99"/>
      <c r="DP222" s="99"/>
      <c r="DQ222" s="99"/>
    </row>
    <row r="223" ht="12.0" customHeight="1">
      <c r="A223" s="6"/>
      <c r="B223" s="99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  <c r="BL223" s="99"/>
      <c r="BM223" s="99"/>
      <c r="BN223" s="99"/>
      <c r="BO223" s="99"/>
      <c r="BP223" s="99"/>
      <c r="BQ223" s="99"/>
      <c r="BR223" s="99"/>
      <c r="BS223" s="99"/>
      <c r="BT223" s="99"/>
      <c r="BU223" s="99"/>
      <c r="BV223" s="99"/>
      <c r="BW223" s="99"/>
      <c r="BX223" s="99"/>
      <c r="BY223" s="99"/>
      <c r="BZ223" s="99"/>
      <c r="CA223" s="99"/>
      <c r="CB223" s="99"/>
      <c r="CC223" s="99"/>
      <c r="CD223" s="99"/>
      <c r="CE223" s="99"/>
      <c r="CF223" s="99"/>
      <c r="CG223" s="99"/>
      <c r="CH223" s="99"/>
      <c r="CI223" s="99"/>
      <c r="CJ223" s="99"/>
      <c r="CK223" s="99"/>
      <c r="CL223" s="99"/>
      <c r="CM223" s="99"/>
      <c r="CN223" s="99"/>
      <c r="CO223" s="99"/>
      <c r="CP223" s="99"/>
      <c r="CQ223" s="99"/>
      <c r="CR223" s="99"/>
      <c r="CS223" s="99"/>
      <c r="CT223" s="99"/>
      <c r="CU223" s="99"/>
      <c r="CV223" s="99"/>
      <c r="CW223" s="99"/>
      <c r="CX223" s="99"/>
      <c r="CY223" s="99"/>
      <c r="CZ223" s="99"/>
      <c r="DA223" s="99"/>
      <c r="DB223" s="99"/>
      <c r="DC223" s="99"/>
      <c r="DD223" s="99"/>
      <c r="DE223" s="99"/>
      <c r="DF223" s="99"/>
      <c r="DG223" s="99"/>
      <c r="DH223" s="99"/>
      <c r="DI223" s="99"/>
      <c r="DJ223" s="139"/>
      <c r="DK223" s="99"/>
      <c r="DL223" s="99"/>
      <c r="DM223" s="99"/>
      <c r="DN223" s="99"/>
      <c r="DO223" s="99"/>
      <c r="DP223" s="99"/>
      <c r="DQ223" s="99"/>
    </row>
    <row r="224" ht="12.0" customHeight="1">
      <c r="A224" s="6"/>
      <c r="B224" s="99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  <c r="BL224" s="99"/>
      <c r="BM224" s="99"/>
      <c r="BN224" s="99"/>
      <c r="BO224" s="99"/>
      <c r="BP224" s="99"/>
      <c r="BQ224" s="99"/>
      <c r="BR224" s="99"/>
      <c r="BS224" s="99"/>
      <c r="BT224" s="99"/>
      <c r="BU224" s="99"/>
      <c r="BV224" s="99"/>
      <c r="BW224" s="99"/>
      <c r="BX224" s="99"/>
      <c r="BY224" s="99"/>
      <c r="BZ224" s="99"/>
      <c r="CA224" s="99"/>
      <c r="CB224" s="99"/>
      <c r="CC224" s="99"/>
      <c r="CD224" s="99"/>
      <c r="CE224" s="99"/>
      <c r="CF224" s="99"/>
      <c r="CG224" s="99"/>
      <c r="CH224" s="99"/>
      <c r="CI224" s="99"/>
      <c r="CJ224" s="99"/>
      <c r="CK224" s="99"/>
      <c r="CL224" s="99"/>
      <c r="CM224" s="99"/>
      <c r="CN224" s="99"/>
      <c r="CO224" s="99"/>
      <c r="CP224" s="99"/>
      <c r="CQ224" s="99"/>
      <c r="CR224" s="99"/>
      <c r="CS224" s="99"/>
      <c r="CT224" s="99"/>
      <c r="CU224" s="99"/>
      <c r="CV224" s="99"/>
      <c r="CW224" s="99"/>
      <c r="CX224" s="99"/>
      <c r="CY224" s="99"/>
      <c r="CZ224" s="99"/>
      <c r="DA224" s="99"/>
      <c r="DB224" s="99"/>
      <c r="DC224" s="99"/>
      <c r="DD224" s="99"/>
      <c r="DE224" s="99"/>
      <c r="DF224" s="99"/>
      <c r="DG224" s="99"/>
      <c r="DH224" s="99"/>
      <c r="DI224" s="99"/>
      <c r="DJ224" s="139"/>
      <c r="DK224" s="99"/>
      <c r="DL224" s="99"/>
      <c r="DM224" s="99"/>
      <c r="DN224" s="99"/>
      <c r="DO224" s="99"/>
      <c r="DP224" s="99"/>
      <c r="DQ224" s="99"/>
    </row>
    <row r="225" ht="12.0" customHeight="1">
      <c r="A225" s="6"/>
      <c r="B225" s="99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  <c r="BL225" s="99"/>
      <c r="BM225" s="99"/>
      <c r="BN225" s="99"/>
      <c r="BO225" s="99"/>
      <c r="BP225" s="99"/>
      <c r="BQ225" s="99"/>
      <c r="BR225" s="99"/>
      <c r="BS225" s="99"/>
      <c r="BT225" s="99"/>
      <c r="BU225" s="99"/>
      <c r="BV225" s="99"/>
      <c r="BW225" s="99"/>
      <c r="BX225" s="99"/>
      <c r="BY225" s="99"/>
      <c r="BZ225" s="99"/>
      <c r="CA225" s="99"/>
      <c r="CB225" s="99"/>
      <c r="CC225" s="99"/>
      <c r="CD225" s="99"/>
      <c r="CE225" s="99"/>
      <c r="CF225" s="99"/>
      <c r="CG225" s="99"/>
      <c r="CH225" s="99"/>
      <c r="CI225" s="99"/>
      <c r="CJ225" s="99"/>
      <c r="CK225" s="99"/>
      <c r="CL225" s="99"/>
      <c r="CM225" s="99"/>
      <c r="CN225" s="99"/>
      <c r="CO225" s="99"/>
      <c r="CP225" s="99"/>
      <c r="CQ225" s="99"/>
      <c r="CR225" s="99"/>
      <c r="CS225" s="99"/>
      <c r="CT225" s="99"/>
      <c r="CU225" s="99"/>
      <c r="CV225" s="99"/>
      <c r="CW225" s="99"/>
      <c r="CX225" s="99"/>
      <c r="CY225" s="99"/>
      <c r="CZ225" s="99"/>
      <c r="DA225" s="99"/>
      <c r="DB225" s="99"/>
      <c r="DC225" s="99"/>
      <c r="DD225" s="99"/>
      <c r="DE225" s="99"/>
      <c r="DF225" s="99"/>
      <c r="DG225" s="99"/>
      <c r="DH225" s="99"/>
      <c r="DI225" s="99"/>
      <c r="DJ225" s="139"/>
      <c r="DK225" s="99"/>
      <c r="DL225" s="99"/>
      <c r="DM225" s="99"/>
      <c r="DN225" s="99"/>
      <c r="DO225" s="99"/>
      <c r="DP225" s="99"/>
      <c r="DQ225" s="99"/>
    </row>
    <row r="226" ht="12.0" customHeight="1">
      <c r="A226" s="6"/>
      <c r="B226" s="99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  <c r="BL226" s="99"/>
      <c r="BM226" s="99"/>
      <c r="BN226" s="99"/>
      <c r="BO226" s="99"/>
      <c r="BP226" s="99"/>
      <c r="BQ226" s="99"/>
      <c r="BR226" s="99"/>
      <c r="BS226" s="99"/>
      <c r="BT226" s="99"/>
      <c r="BU226" s="99"/>
      <c r="BV226" s="99"/>
      <c r="BW226" s="99"/>
      <c r="BX226" s="99"/>
      <c r="BY226" s="99"/>
      <c r="BZ226" s="99"/>
      <c r="CA226" s="99"/>
      <c r="CB226" s="99"/>
      <c r="CC226" s="99"/>
      <c r="CD226" s="99"/>
      <c r="CE226" s="99"/>
      <c r="CF226" s="99"/>
      <c r="CG226" s="99"/>
      <c r="CH226" s="99"/>
      <c r="CI226" s="99"/>
      <c r="CJ226" s="99"/>
      <c r="CK226" s="99"/>
      <c r="CL226" s="99"/>
      <c r="CM226" s="99"/>
      <c r="CN226" s="99"/>
      <c r="CO226" s="99"/>
      <c r="CP226" s="99"/>
      <c r="CQ226" s="99"/>
      <c r="CR226" s="99"/>
      <c r="CS226" s="99"/>
      <c r="CT226" s="99"/>
      <c r="CU226" s="99"/>
      <c r="CV226" s="99"/>
      <c r="CW226" s="99"/>
      <c r="CX226" s="99"/>
      <c r="CY226" s="99"/>
      <c r="CZ226" s="99"/>
      <c r="DA226" s="99"/>
      <c r="DB226" s="99"/>
      <c r="DC226" s="99"/>
      <c r="DD226" s="99"/>
      <c r="DE226" s="99"/>
      <c r="DF226" s="99"/>
      <c r="DG226" s="99"/>
      <c r="DH226" s="99"/>
      <c r="DI226" s="99"/>
      <c r="DJ226" s="139"/>
      <c r="DK226" s="99"/>
      <c r="DL226" s="99"/>
      <c r="DM226" s="99"/>
      <c r="DN226" s="99"/>
      <c r="DO226" s="99"/>
      <c r="DP226" s="99"/>
      <c r="DQ226" s="99"/>
    </row>
    <row r="227" ht="12.0" customHeight="1">
      <c r="A227" s="6"/>
      <c r="B227" s="99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  <c r="BL227" s="99"/>
      <c r="BM227" s="99"/>
      <c r="BN227" s="99"/>
      <c r="BO227" s="99"/>
      <c r="BP227" s="99"/>
      <c r="BQ227" s="99"/>
      <c r="BR227" s="99"/>
      <c r="BS227" s="99"/>
      <c r="BT227" s="99"/>
      <c r="BU227" s="99"/>
      <c r="BV227" s="99"/>
      <c r="BW227" s="99"/>
      <c r="BX227" s="99"/>
      <c r="BY227" s="99"/>
      <c r="BZ227" s="99"/>
      <c r="CA227" s="99"/>
      <c r="CB227" s="99"/>
      <c r="CC227" s="99"/>
      <c r="CD227" s="99"/>
      <c r="CE227" s="99"/>
      <c r="CF227" s="99"/>
      <c r="CG227" s="99"/>
      <c r="CH227" s="99"/>
      <c r="CI227" s="99"/>
      <c r="CJ227" s="99"/>
      <c r="CK227" s="99"/>
      <c r="CL227" s="99"/>
      <c r="CM227" s="99"/>
      <c r="CN227" s="99"/>
      <c r="CO227" s="99"/>
      <c r="CP227" s="99"/>
      <c r="CQ227" s="99"/>
      <c r="CR227" s="99"/>
      <c r="CS227" s="99"/>
      <c r="CT227" s="99"/>
      <c r="CU227" s="99"/>
      <c r="CV227" s="99"/>
      <c r="CW227" s="99"/>
      <c r="CX227" s="99"/>
      <c r="CY227" s="99"/>
      <c r="CZ227" s="99"/>
      <c r="DA227" s="99"/>
      <c r="DB227" s="99"/>
      <c r="DC227" s="99"/>
      <c r="DD227" s="99"/>
      <c r="DE227" s="99"/>
      <c r="DF227" s="99"/>
      <c r="DG227" s="99"/>
      <c r="DH227" s="99"/>
      <c r="DI227" s="99"/>
      <c r="DJ227" s="139"/>
      <c r="DK227" s="99"/>
      <c r="DL227" s="99"/>
      <c r="DM227" s="99"/>
      <c r="DN227" s="99"/>
      <c r="DO227" s="99"/>
      <c r="DP227" s="99"/>
      <c r="DQ227" s="99"/>
    </row>
    <row r="228" ht="12.0" customHeight="1">
      <c r="A228" s="6"/>
      <c r="B228" s="99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  <c r="BL228" s="99"/>
      <c r="BM228" s="99"/>
      <c r="BN228" s="99"/>
      <c r="BO228" s="99"/>
      <c r="BP228" s="99"/>
      <c r="BQ228" s="99"/>
      <c r="BR228" s="99"/>
      <c r="BS228" s="99"/>
      <c r="BT228" s="99"/>
      <c r="BU228" s="99"/>
      <c r="BV228" s="99"/>
      <c r="BW228" s="99"/>
      <c r="BX228" s="99"/>
      <c r="BY228" s="99"/>
      <c r="BZ228" s="99"/>
      <c r="CA228" s="99"/>
      <c r="CB228" s="99"/>
      <c r="CC228" s="99"/>
      <c r="CD228" s="99"/>
      <c r="CE228" s="99"/>
      <c r="CF228" s="99"/>
      <c r="CG228" s="99"/>
      <c r="CH228" s="99"/>
      <c r="CI228" s="99"/>
      <c r="CJ228" s="99"/>
      <c r="CK228" s="99"/>
      <c r="CL228" s="99"/>
      <c r="CM228" s="99"/>
      <c r="CN228" s="99"/>
      <c r="CO228" s="99"/>
      <c r="CP228" s="99"/>
      <c r="CQ228" s="99"/>
      <c r="CR228" s="99"/>
      <c r="CS228" s="99"/>
      <c r="CT228" s="99"/>
      <c r="CU228" s="99"/>
      <c r="CV228" s="99"/>
      <c r="CW228" s="99"/>
      <c r="CX228" s="99"/>
      <c r="CY228" s="99"/>
      <c r="CZ228" s="99"/>
      <c r="DA228" s="99"/>
      <c r="DB228" s="99"/>
      <c r="DC228" s="99"/>
      <c r="DD228" s="99"/>
      <c r="DE228" s="99"/>
      <c r="DF228" s="99"/>
      <c r="DG228" s="99"/>
      <c r="DH228" s="99"/>
      <c r="DI228" s="99"/>
      <c r="DJ228" s="139"/>
      <c r="DK228" s="99"/>
      <c r="DL228" s="99"/>
      <c r="DM228" s="99"/>
      <c r="DN228" s="99"/>
      <c r="DO228" s="99"/>
      <c r="DP228" s="99"/>
      <c r="DQ228" s="99"/>
    </row>
    <row r="229" ht="12.0" customHeight="1">
      <c r="A229" s="6"/>
      <c r="B229" s="99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  <c r="BL229" s="99"/>
      <c r="BM229" s="99"/>
      <c r="BN229" s="99"/>
      <c r="BO229" s="99"/>
      <c r="BP229" s="99"/>
      <c r="BQ229" s="99"/>
      <c r="BR229" s="99"/>
      <c r="BS229" s="99"/>
      <c r="BT229" s="99"/>
      <c r="BU229" s="99"/>
      <c r="BV229" s="99"/>
      <c r="BW229" s="99"/>
      <c r="BX229" s="99"/>
      <c r="BY229" s="99"/>
      <c r="BZ229" s="99"/>
      <c r="CA229" s="99"/>
      <c r="CB229" s="99"/>
      <c r="CC229" s="99"/>
      <c r="CD229" s="99"/>
      <c r="CE229" s="99"/>
      <c r="CF229" s="99"/>
      <c r="CG229" s="99"/>
      <c r="CH229" s="99"/>
      <c r="CI229" s="99"/>
      <c r="CJ229" s="99"/>
      <c r="CK229" s="99"/>
      <c r="CL229" s="99"/>
      <c r="CM229" s="99"/>
      <c r="CN229" s="99"/>
      <c r="CO229" s="99"/>
      <c r="CP229" s="99"/>
      <c r="CQ229" s="99"/>
      <c r="CR229" s="99"/>
      <c r="CS229" s="99"/>
      <c r="CT229" s="99"/>
      <c r="CU229" s="99"/>
      <c r="CV229" s="99"/>
      <c r="CW229" s="99"/>
      <c r="CX229" s="99"/>
      <c r="CY229" s="99"/>
      <c r="CZ229" s="99"/>
      <c r="DA229" s="99"/>
      <c r="DB229" s="99"/>
      <c r="DC229" s="99"/>
      <c r="DD229" s="99"/>
      <c r="DE229" s="99"/>
      <c r="DF229" s="99"/>
      <c r="DG229" s="99"/>
      <c r="DH229" s="99"/>
      <c r="DI229" s="99"/>
      <c r="DJ229" s="139"/>
      <c r="DK229" s="99"/>
      <c r="DL229" s="99"/>
      <c r="DM229" s="99"/>
      <c r="DN229" s="99"/>
      <c r="DO229" s="99"/>
      <c r="DP229" s="99"/>
      <c r="DQ229" s="99"/>
    </row>
    <row r="230" ht="12.0" customHeight="1">
      <c r="A230" s="6"/>
      <c r="B230" s="99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  <c r="BL230" s="99"/>
      <c r="BM230" s="99"/>
      <c r="BN230" s="99"/>
      <c r="BO230" s="99"/>
      <c r="BP230" s="99"/>
      <c r="BQ230" s="99"/>
      <c r="BR230" s="99"/>
      <c r="BS230" s="99"/>
      <c r="BT230" s="99"/>
      <c r="BU230" s="99"/>
      <c r="BV230" s="99"/>
      <c r="BW230" s="99"/>
      <c r="BX230" s="99"/>
      <c r="BY230" s="99"/>
      <c r="BZ230" s="99"/>
      <c r="CA230" s="99"/>
      <c r="CB230" s="99"/>
      <c r="CC230" s="99"/>
      <c r="CD230" s="99"/>
      <c r="CE230" s="99"/>
      <c r="CF230" s="99"/>
      <c r="CG230" s="99"/>
      <c r="CH230" s="99"/>
      <c r="CI230" s="99"/>
      <c r="CJ230" s="99"/>
      <c r="CK230" s="99"/>
      <c r="CL230" s="99"/>
      <c r="CM230" s="99"/>
      <c r="CN230" s="99"/>
      <c r="CO230" s="99"/>
      <c r="CP230" s="99"/>
      <c r="CQ230" s="99"/>
      <c r="CR230" s="99"/>
      <c r="CS230" s="99"/>
      <c r="CT230" s="99"/>
      <c r="CU230" s="99"/>
      <c r="CV230" s="99"/>
      <c r="CW230" s="99"/>
      <c r="CX230" s="99"/>
      <c r="CY230" s="99"/>
      <c r="CZ230" s="99"/>
      <c r="DA230" s="99"/>
      <c r="DB230" s="99"/>
      <c r="DC230" s="99"/>
      <c r="DD230" s="99"/>
      <c r="DE230" s="99"/>
      <c r="DF230" s="99"/>
      <c r="DG230" s="99"/>
      <c r="DH230" s="99"/>
      <c r="DI230" s="99"/>
      <c r="DJ230" s="139"/>
      <c r="DK230" s="99"/>
      <c r="DL230" s="99"/>
      <c r="DM230" s="99"/>
      <c r="DN230" s="99"/>
      <c r="DO230" s="99"/>
      <c r="DP230" s="99"/>
      <c r="DQ230" s="99"/>
    </row>
    <row r="231" ht="12.0" customHeight="1">
      <c r="A231" s="6"/>
      <c r="B231" s="99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  <c r="BL231" s="99"/>
      <c r="BM231" s="99"/>
      <c r="BN231" s="99"/>
      <c r="BO231" s="99"/>
      <c r="BP231" s="99"/>
      <c r="BQ231" s="99"/>
      <c r="BR231" s="99"/>
      <c r="BS231" s="99"/>
      <c r="BT231" s="99"/>
      <c r="BU231" s="99"/>
      <c r="BV231" s="99"/>
      <c r="BW231" s="99"/>
      <c r="BX231" s="99"/>
      <c r="BY231" s="99"/>
      <c r="BZ231" s="99"/>
      <c r="CA231" s="99"/>
      <c r="CB231" s="99"/>
      <c r="CC231" s="99"/>
      <c r="CD231" s="99"/>
      <c r="CE231" s="99"/>
      <c r="CF231" s="99"/>
      <c r="CG231" s="99"/>
      <c r="CH231" s="99"/>
      <c r="CI231" s="99"/>
      <c r="CJ231" s="99"/>
      <c r="CK231" s="99"/>
      <c r="CL231" s="99"/>
      <c r="CM231" s="99"/>
      <c r="CN231" s="99"/>
      <c r="CO231" s="99"/>
      <c r="CP231" s="99"/>
      <c r="CQ231" s="99"/>
      <c r="CR231" s="99"/>
      <c r="CS231" s="99"/>
      <c r="CT231" s="99"/>
      <c r="CU231" s="99"/>
      <c r="CV231" s="99"/>
      <c r="CW231" s="99"/>
      <c r="CX231" s="99"/>
      <c r="CY231" s="99"/>
      <c r="CZ231" s="99"/>
      <c r="DA231" s="99"/>
      <c r="DB231" s="99"/>
      <c r="DC231" s="99"/>
      <c r="DD231" s="99"/>
      <c r="DE231" s="99"/>
      <c r="DF231" s="99"/>
      <c r="DG231" s="99"/>
      <c r="DH231" s="99"/>
      <c r="DI231" s="99"/>
      <c r="DJ231" s="139"/>
      <c r="DK231" s="99"/>
      <c r="DL231" s="99"/>
      <c r="DM231" s="99"/>
      <c r="DN231" s="99"/>
      <c r="DO231" s="99"/>
      <c r="DP231" s="99"/>
      <c r="DQ231" s="99"/>
    </row>
    <row r="232" ht="12.0" customHeight="1">
      <c r="A232" s="6"/>
      <c r="B232" s="99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  <c r="BL232" s="99"/>
      <c r="BM232" s="99"/>
      <c r="BN232" s="99"/>
      <c r="BO232" s="99"/>
      <c r="BP232" s="99"/>
      <c r="BQ232" s="99"/>
      <c r="BR232" s="99"/>
      <c r="BS232" s="99"/>
      <c r="BT232" s="99"/>
      <c r="BU232" s="99"/>
      <c r="BV232" s="99"/>
      <c r="BW232" s="99"/>
      <c r="BX232" s="99"/>
      <c r="BY232" s="99"/>
      <c r="BZ232" s="99"/>
      <c r="CA232" s="99"/>
      <c r="CB232" s="99"/>
      <c r="CC232" s="99"/>
      <c r="CD232" s="99"/>
      <c r="CE232" s="99"/>
      <c r="CF232" s="99"/>
      <c r="CG232" s="99"/>
      <c r="CH232" s="99"/>
      <c r="CI232" s="99"/>
      <c r="CJ232" s="99"/>
      <c r="CK232" s="99"/>
      <c r="CL232" s="99"/>
      <c r="CM232" s="99"/>
      <c r="CN232" s="99"/>
      <c r="CO232" s="99"/>
      <c r="CP232" s="99"/>
      <c r="CQ232" s="99"/>
      <c r="CR232" s="99"/>
      <c r="CS232" s="99"/>
      <c r="CT232" s="99"/>
      <c r="CU232" s="99"/>
      <c r="CV232" s="99"/>
      <c r="CW232" s="99"/>
      <c r="CX232" s="99"/>
      <c r="CY232" s="99"/>
      <c r="CZ232" s="99"/>
      <c r="DA232" s="99"/>
      <c r="DB232" s="99"/>
      <c r="DC232" s="99"/>
      <c r="DD232" s="99"/>
      <c r="DE232" s="99"/>
      <c r="DF232" s="99"/>
      <c r="DG232" s="99"/>
      <c r="DH232" s="99"/>
      <c r="DI232" s="99"/>
      <c r="DJ232" s="139"/>
      <c r="DK232" s="99"/>
      <c r="DL232" s="99"/>
      <c r="DM232" s="99"/>
      <c r="DN232" s="99"/>
      <c r="DO232" s="99"/>
      <c r="DP232" s="99"/>
      <c r="DQ232" s="99"/>
    </row>
    <row r="233" ht="12.0" customHeight="1">
      <c r="A233" s="6"/>
      <c r="B233" s="99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  <c r="BP233" s="99"/>
      <c r="BQ233" s="99"/>
      <c r="BR233" s="99"/>
      <c r="BS233" s="99"/>
      <c r="BT233" s="99"/>
      <c r="BU233" s="99"/>
      <c r="BV233" s="99"/>
      <c r="BW233" s="99"/>
      <c r="BX233" s="99"/>
      <c r="BY233" s="99"/>
      <c r="BZ233" s="99"/>
      <c r="CA233" s="99"/>
      <c r="CB233" s="99"/>
      <c r="CC233" s="99"/>
      <c r="CD233" s="99"/>
      <c r="CE233" s="99"/>
      <c r="CF233" s="99"/>
      <c r="CG233" s="99"/>
      <c r="CH233" s="99"/>
      <c r="CI233" s="99"/>
      <c r="CJ233" s="99"/>
      <c r="CK233" s="99"/>
      <c r="CL233" s="99"/>
      <c r="CM233" s="99"/>
      <c r="CN233" s="99"/>
      <c r="CO233" s="99"/>
      <c r="CP233" s="99"/>
      <c r="CQ233" s="99"/>
      <c r="CR233" s="99"/>
      <c r="CS233" s="99"/>
      <c r="CT233" s="99"/>
      <c r="CU233" s="99"/>
      <c r="CV233" s="99"/>
      <c r="CW233" s="99"/>
      <c r="CX233" s="99"/>
      <c r="CY233" s="99"/>
      <c r="CZ233" s="99"/>
      <c r="DA233" s="99"/>
      <c r="DB233" s="99"/>
      <c r="DC233" s="99"/>
      <c r="DD233" s="99"/>
      <c r="DE233" s="99"/>
      <c r="DF233" s="99"/>
      <c r="DG233" s="99"/>
      <c r="DH233" s="99"/>
      <c r="DI233" s="99"/>
      <c r="DJ233" s="139"/>
      <c r="DK233" s="99"/>
      <c r="DL233" s="99"/>
      <c r="DM233" s="99"/>
      <c r="DN233" s="99"/>
      <c r="DO233" s="99"/>
      <c r="DP233" s="99"/>
      <c r="DQ233" s="99"/>
    </row>
    <row r="234" ht="12.0" customHeight="1">
      <c r="A234" s="6"/>
      <c r="B234" s="99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  <c r="BL234" s="99"/>
      <c r="BM234" s="99"/>
      <c r="BN234" s="99"/>
      <c r="BO234" s="99"/>
      <c r="BP234" s="99"/>
      <c r="BQ234" s="99"/>
      <c r="BR234" s="99"/>
      <c r="BS234" s="99"/>
      <c r="BT234" s="99"/>
      <c r="BU234" s="99"/>
      <c r="BV234" s="99"/>
      <c r="BW234" s="99"/>
      <c r="BX234" s="99"/>
      <c r="BY234" s="99"/>
      <c r="BZ234" s="99"/>
      <c r="CA234" s="99"/>
      <c r="CB234" s="99"/>
      <c r="CC234" s="99"/>
      <c r="CD234" s="99"/>
      <c r="CE234" s="99"/>
      <c r="CF234" s="99"/>
      <c r="CG234" s="99"/>
      <c r="CH234" s="99"/>
      <c r="CI234" s="99"/>
      <c r="CJ234" s="99"/>
      <c r="CK234" s="99"/>
      <c r="CL234" s="99"/>
      <c r="CM234" s="99"/>
      <c r="CN234" s="99"/>
      <c r="CO234" s="99"/>
      <c r="CP234" s="99"/>
      <c r="CQ234" s="99"/>
      <c r="CR234" s="99"/>
      <c r="CS234" s="99"/>
      <c r="CT234" s="99"/>
      <c r="CU234" s="99"/>
      <c r="CV234" s="99"/>
      <c r="CW234" s="99"/>
      <c r="CX234" s="99"/>
      <c r="CY234" s="99"/>
      <c r="CZ234" s="99"/>
      <c r="DA234" s="99"/>
      <c r="DB234" s="99"/>
      <c r="DC234" s="99"/>
      <c r="DD234" s="99"/>
      <c r="DE234" s="99"/>
      <c r="DF234" s="99"/>
      <c r="DG234" s="99"/>
      <c r="DH234" s="99"/>
      <c r="DI234" s="99"/>
      <c r="DJ234" s="139"/>
      <c r="DK234" s="99"/>
      <c r="DL234" s="99"/>
      <c r="DM234" s="99"/>
      <c r="DN234" s="99"/>
      <c r="DO234" s="99"/>
      <c r="DP234" s="99"/>
      <c r="DQ234" s="99"/>
    </row>
    <row r="235" ht="12.0" customHeight="1">
      <c r="A235" s="6"/>
      <c r="B235" s="99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  <c r="BL235" s="99"/>
      <c r="BM235" s="99"/>
      <c r="BN235" s="99"/>
      <c r="BO235" s="99"/>
      <c r="BP235" s="99"/>
      <c r="BQ235" s="99"/>
      <c r="BR235" s="99"/>
      <c r="BS235" s="99"/>
      <c r="BT235" s="99"/>
      <c r="BU235" s="99"/>
      <c r="BV235" s="99"/>
      <c r="BW235" s="99"/>
      <c r="BX235" s="99"/>
      <c r="BY235" s="99"/>
      <c r="BZ235" s="99"/>
      <c r="CA235" s="99"/>
      <c r="CB235" s="99"/>
      <c r="CC235" s="99"/>
      <c r="CD235" s="99"/>
      <c r="CE235" s="99"/>
      <c r="CF235" s="99"/>
      <c r="CG235" s="99"/>
      <c r="CH235" s="99"/>
      <c r="CI235" s="99"/>
      <c r="CJ235" s="99"/>
      <c r="CK235" s="99"/>
      <c r="CL235" s="99"/>
      <c r="CM235" s="99"/>
      <c r="CN235" s="99"/>
      <c r="CO235" s="99"/>
      <c r="CP235" s="99"/>
      <c r="CQ235" s="99"/>
      <c r="CR235" s="99"/>
      <c r="CS235" s="99"/>
      <c r="CT235" s="99"/>
      <c r="CU235" s="99"/>
      <c r="CV235" s="99"/>
      <c r="CW235" s="99"/>
      <c r="CX235" s="99"/>
      <c r="CY235" s="99"/>
      <c r="CZ235" s="99"/>
      <c r="DA235" s="99"/>
      <c r="DB235" s="99"/>
      <c r="DC235" s="99"/>
      <c r="DD235" s="99"/>
      <c r="DE235" s="99"/>
      <c r="DF235" s="99"/>
      <c r="DG235" s="99"/>
      <c r="DH235" s="99"/>
      <c r="DI235" s="99"/>
      <c r="DJ235" s="139"/>
      <c r="DK235" s="99"/>
      <c r="DL235" s="99"/>
      <c r="DM235" s="99"/>
      <c r="DN235" s="99"/>
      <c r="DO235" s="99"/>
      <c r="DP235" s="99"/>
      <c r="DQ235" s="99"/>
    </row>
    <row r="236" ht="12.0" customHeight="1">
      <c r="A236" s="6"/>
      <c r="B236" s="99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  <c r="BL236" s="99"/>
      <c r="BM236" s="99"/>
      <c r="BN236" s="99"/>
      <c r="BO236" s="99"/>
      <c r="BP236" s="99"/>
      <c r="BQ236" s="99"/>
      <c r="BR236" s="99"/>
      <c r="BS236" s="99"/>
      <c r="BT236" s="99"/>
      <c r="BU236" s="99"/>
      <c r="BV236" s="99"/>
      <c r="BW236" s="99"/>
      <c r="BX236" s="99"/>
      <c r="BY236" s="99"/>
      <c r="BZ236" s="99"/>
      <c r="CA236" s="99"/>
      <c r="CB236" s="99"/>
      <c r="CC236" s="99"/>
      <c r="CD236" s="99"/>
      <c r="CE236" s="99"/>
      <c r="CF236" s="99"/>
      <c r="CG236" s="99"/>
      <c r="CH236" s="99"/>
      <c r="CI236" s="99"/>
      <c r="CJ236" s="99"/>
      <c r="CK236" s="99"/>
      <c r="CL236" s="99"/>
      <c r="CM236" s="99"/>
      <c r="CN236" s="99"/>
      <c r="CO236" s="99"/>
      <c r="CP236" s="99"/>
      <c r="CQ236" s="99"/>
      <c r="CR236" s="99"/>
      <c r="CS236" s="99"/>
      <c r="CT236" s="99"/>
      <c r="CU236" s="99"/>
      <c r="CV236" s="99"/>
      <c r="CW236" s="99"/>
      <c r="CX236" s="99"/>
      <c r="CY236" s="99"/>
      <c r="CZ236" s="99"/>
      <c r="DA236" s="99"/>
      <c r="DB236" s="99"/>
      <c r="DC236" s="99"/>
      <c r="DD236" s="99"/>
      <c r="DE236" s="99"/>
      <c r="DF236" s="99"/>
      <c r="DG236" s="99"/>
      <c r="DH236" s="99"/>
      <c r="DI236" s="99"/>
      <c r="DJ236" s="139"/>
      <c r="DK236" s="99"/>
      <c r="DL236" s="99"/>
      <c r="DM236" s="99"/>
      <c r="DN236" s="99"/>
      <c r="DO236" s="99"/>
      <c r="DP236" s="99"/>
      <c r="DQ236" s="99"/>
    </row>
    <row r="237" ht="12.0" customHeight="1">
      <c r="A237" s="6"/>
      <c r="B237" s="99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  <c r="BL237" s="99"/>
      <c r="BM237" s="99"/>
      <c r="BN237" s="99"/>
      <c r="BO237" s="99"/>
      <c r="BP237" s="99"/>
      <c r="BQ237" s="99"/>
      <c r="BR237" s="99"/>
      <c r="BS237" s="99"/>
      <c r="BT237" s="99"/>
      <c r="BU237" s="99"/>
      <c r="BV237" s="99"/>
      <c r="BW237" s="99"/>
      <c r="BX237" s="99"/>
      <c r="BY237" s="99"/>
      <c r="BZ237" s="99"/>
      <c r="CA237" s="99"/>
      <c r="CB237" s="99"/>
      <c r="CC237" s="99"/>
      <c r="CD237" s="99"/>
      <c r="CE237" s="99"/>
      <c r="CF237" s="99"/>
      <c r="CG237" s="99"/>
      <c r="CH237" s="99"/>
      <c r="CI237" s="99"/>
      <c r="CJ237" s="99"/>
      <c r="CK237" s="99"/>
      <c r="CL237" s="99"/>
      <c r="CM237" s="99"/>
      <c r="CN237" s="99"/>
      <c r="CO237" s="99"/>
      <c r="CP237" s="99"/>
      <c r="CQ237" s="99"/>
      <c r="CR237" s="99"/>
      <c r="CS237" s="99"/>
      <c r="CT237" s="99"/>
      <c r="CU237" s="99"/>
      <c r="CV237" s="99"/>
      <c r="CW237" s="99"/>
      <c r="CX237" s="99"/>
      <c r="CY237" s="99"/>
      <c r="CZ237" s="99"/>
      <c r="DA237" s="99"/>
      <c r="DB237" s="99"/>
      <c r="DC237" s="99"/>
      <c r="DD237" s="99"/>
      <c r="DE237" s="99"/>
      <c r="DF237" s="99"/>
      <c r="DG237" s="99"/>
      <c r="DH237" s="99"/>
      <c r="DI237" s="99"/>
      <c r="DJ237" s="139"/>
      <c r="DK237" s="99"/>
      <c r="DL237" s="99"/>
      <c r="DM237" s="99"/>
      <c r="DN237" s="99"/>
      <c r="DO237" s="99"/>
      <c r="DP237" s="99"/>
      <c r="DQ237" s="99"/>
    </row>
    <row r="238" ht="12.0" customHeight="1">
      <c r="A238" s="6"/>
      <c r="B238" s="99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  <c r="BL238" s="99"/>
      <c r="BM238" s="99"/>
      <c r="BN238" s="99"/>
      <c r="BO238" s="99"/>
      <c r="BP238" s="99"/>
      <c r="BQ238" s="99"/>
      <c r="BR238" s="99"/>
      <c r="BS238" s="99"/>
      <c r="BT238" s="99"/>
      <c r="BU238" s="99"/>
      <c r="BV238" s="99"/>
      <c r="BW238" s="99"/>
      <c r="BX238" s="99"/>
      <c r="BY238" s="99"/>
      <c r="BZ238" s="99"/>
      <c r="CA238" s="99"/>
      <c r="CB238" s="99"/>
      <c r="CC238" s="99"/>
      <c r="CD238" s="99"/>
      <c r="CE238" s="99"/>
      <c r="CF238" s="99"/>
      <c r="CG238" s="99"/>
      <c r="CH238" s="99"/>
      <c r="CI238" s="99"/>
      <c r="CJ238" s="99"/>
      <c r="CK238" s="99"/>
      <c r="CL238" s="99"/>
      <c r="CM238" s="99"/>
      <c r="CN238" s="99"/>
      <c r="CO238" s="99"/>
      <c r="CP238" s="99"/>
      <c r="CQ238" s="99"/>
      <c r="CR238" s="99"/>
      <c r="CS238" s="99"/>
      <c r="CT238" s="99"/>
      <c r="CU238" s="99"/>
      <c r="CV238" s="99"/>
      <c r="CW238" s="99"/>
      <c r="CX238" s="99"/>
      <c r="CY238" s="99"/>
      <c r="CZ238" s="99"/>
      <c r="DA238" s="99"/>
      <c r="DB238" s="99"/>
      <c r="DC238" s="99"/>
      <c r="DD238" s="99"/>
      <c r="DE238" s="99"/>
      <c r="DF238" s="99"/>
      <c r="DG238" s="99"/>
      <c r="DH238" s="99"/>
      <c r="DI238" s="99"/>
      <c r="DJ238" s="139"/>
      <c r="DK238" s="99"/>
      <c r="DL238" s="99"/>
      <c r="DM238" s="99"/>
      <c r="DN238" s="99"/>
      <c r="DO238" s="99"/>
      <c r="DP238" s="99"/>
      <c r="DQ238" s="99"/>
    </row>
    <row r="239" ht="12.0" customHeight="1">
      <c r="A239" s="6"/>
      <c r="B239" s="99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  <c r="BL239" s="99"/>
      <c r="BM239" s="99"/>
      <c r="BN239" s="99"/>
      <c r="BO239" s="99"/>
      <c r="BP239" s="99"/>
      <c r="BQ239" s="99"/>
      <c r="BR239" s="99"/>
      <c r="BS239" s="99"/>
      <c r="BT239" s="99"/>
      <c r="BU239" s="99"/>
      <c r="BV239" s="99"/>
      <c r="BW239" s="99"/>
      <c r="BX239" s="99"/>
      <c r="BY239" s="99"/>
      <c r="BZ239" s="99"/>
      <c r="CA239" s="99"/>
      <c r="CB239" s="99"/>
      <c r="CC239" s="99"/>
      <c r="CD239" s="99"/>
      <c r="CE239" s="99"/>
      <c r="CF239" s="99"/>
      <c r="CG239" s="99"/>
      <c r="CH239" s="99"/>
      <c r="CI239" s="99"/>
      <c r="CJ239" s="99"/>
      <c r="CK239" s="99"/>
      <c r="CL239" s="99"/>
      <c r="CM239" s="99"/>
      <c r="CN239" s="99"/>
      <c r="CO239" s="99"/>
      <c r="CP239" s="99"/>
      <c r="CQ239" s="99"/>
      <c r="CR239" s="99"/>
      <c r="CS239" s="99"/>
      <c r="CT239" s="99"/>
      <c r="CU239" s="99"/>
      <c r="CV239" s="99"/>
      <c r="CW239" s="99"/>
      <c r="CX239" s="99"/>
      <c r="CY239" s="99"/>
      <c r="CZ239" s="99"/>
      <c r="DA239" s="99"/>
      <c r="DB239" s="99"/>
      <c r="DC239" s="99"/>
      <c r="DD239" s="99"/>
      <c r="DE239" s="99"/>
      <c r="DF239" s="99"/>
      <c r="DG239" s="99"/>
      <c r="DH239" s="99"/>
      <c r="DI239" s="99"/>
      <c r="DJ239" s="139"/>
      <c r="DK239" s="99"/>
      <c r="DL239" s="99"/>
      <c r="DM239" s="99"/>
      <c r="DN239" s="99"/>
      <c r="DO239" s="99"/>
      <c r="DP239" s="99"/>
      <c r="DQ239" s="99"/>
    </row>
    <row r="240" ht="12.0" customHeight="1">
      <c r="A240" s="6"/>
      <c r="B240" s="99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  <c r="BL240" s="99"/>
      <c r="BM240" s="99"/>
      <c r="BN240" s="99"/>
      <c r="BO240" s="99"/>
      <c r="BP240" s="99"/>
      <c r="BQ240" s="99"/>
      <c r="BR240" s="99"/>
      <c r="BS240" s="99"/>
      <c r="BT240" s="99"/>
      <c r="BU240" s="99"/>
      <c r="BV240" s="99"/>
      <c r="BW240" s="99"/>
      <c r="BX240" s="99"/>
      <c r="BY240" s="99"/>
      <c r="BZ240" s="99"/>
      <c r="CA240" s="99"/>
      <c r="CB240" s="99"/>
      <c r="CC240" s="99"/>
      <c r="CD240" s="99"/>
      <c r="CE240" s="99"/>
      <c r="CF240" s="99"/>
      <c r="CG240" s="99"/>
      <c r="CH240" s="99"/>
      <c r="CI240" s="99"/>
      <c r="CJ240" s="99"/>
      <c r="CK240" s="99"/>
      <c r="CL240" s="99"/>
      <c r="CM240" s="99"/>
      <c r="CN240" s="99"/>
      <c r="CO240" s="99"/>
      <c r="CP240" s="99"/>
      <c r="CQ240" s="99"/>
      <c r="CR240" s="99"/>
      <c r="CS240" s="99"/>
      <c r="CT240" s="99"/>
      <c r="CU240" s="99"/>
      <c r="CV240" s="99"/>
      <c r="CW240" s="99"/>
      <c r="CX240" s="99"/>
      <c r="CY240" s="99"/>
      <c r="CZ240" s="99"/>
      <c r="DA240" s="99"/>
      <c r="DB240" s="99"/>
      <c r="DC240" s="99"/>
      <c r="DD240" s="99"/>
      <c r="DE240" s="99"/>
      <c r="DF240" s="99"/>
      <c r="DG240" s="99"/>
      <c r="DH240" s="99"/>
      <c r="DI240" s="99"/>
      <c r="DJ240" s="139"/>
      <c r="DK240" s="99"/>
      <c r="DL240" s="99"/>
      <c r="DM240" s="99"/>
      <c r="DN240" s="99"/>
      <c r="DO240" s="99"/>
      <c r="DP240" s="99"/>
      <c r="DQ240" s="99"/>
    </row>
    <row r="241" ht="12.0" customHeight="1">
      <c r="A241" s="6"/>
      <c r="B241" s="99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  <c r="BL241" s="99"/>
      <c r="BM241" s="99"/>
      <c r="BN241" s="99"/>
      <c r="BO241" s="99"/>
      <c r="BP241" s="99"/>
      <c r="BQ241" s="99"/>
      <c r="BR241" s="99"/>
      <c r="BS241" s="99"/>
      <c r="BT241" s="99"/>
      <c r="BU241" s="99"/>
      <c r="BV241" s="99"/>
      <c r="BW241" s="99"/>
      <c r="BX241" s="99"/>
      <c r="BY241" s="99"/>
      <c r="BZ241" s="99"/>
      <c r="CA241" s="99"/>
      <c r="CB241" s="99"/>
      <c r="CC241" s="99"/>
      <c r="CD241" s="99"/>
      <c r="CE241" s="99"/>
      <c r="CF241" s="99"/>
      <c r="CG241" s="99"/>
      <c r="CH241" s="99"/>
      <c r="CI241" s="99"/>
      <c r="CJ241" s="99"/>
      <c r="CK241" s="99"/>
      <c r="CL241" s="99"/>
      <c r="CM241" s="99"/>
      <c r="CN241" s="99"/>
      <c r="CO241" s="99"/>
      <c r="CP241" s="99"/>
      <c r="CQ241" s="99"/>
      <c r="CR241" s="99"/>
      <c r="CS241" s="99"/>
      <c r="CT241" s="99"/>
      <c r="CU241" s="99"/>
      <c r="CV241" s="99"/>
      <c r="CW241" s="99"/>
      <c r="CX241" s="99"/>
      <c r="CY241" s="99"/>
      <c r="CZ241" s="99"/>
      <c r="DA241" s="99"/>
      <c r="DB241" s="99"/>
      <c r="DC241" s="99"/>
      <c r="DD241" s="99"/>
      <c r="DE241" s="99"/>
      <c r="DF241" s="99"/>
      <c r="DG241" s="99"/>
      <c r="DH241" s="99"/>
      <c r="DI241" s="99"/>
      <c r="DJ241" s="139"/>
      <c r="DK241" s="99"/>
      <c r="DL241" s="99"/>
      <c r="DM241" s="99"/>
      <c r="DN241" s="99"/>
      <c r="DO241" s="99"/>
      <c r="DP241" s="99"/>
      <c r="DQ241" s="99"/>
    </row>
    <row r="242" ht="12.0" customHeight="1">
      <c r="A242" s="6"/>
      <c r="B242" s="99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  <c r="BP242" s="99"/>
      <c r="BQ242" s="99"/>
      <c r="BR242" s="99"/>
      <c r="BS242" s="99"/>
      <c r="BT242" s="99"/>
      <c r="BU242" s="99"/>
      <c r="BV242" s="99"/>
      <c r="BW242" s="99"/>
      <c r="BX242" s="99"/>
      <c r="BY242" s="99"/>
      <c r="BZ242" s="99"/>
      <c r="CA242" s="99"/>
      <c r="CB242" s="99"/>
      <c r="CC242" s="99"/>
      <c r="CD242" s="99"/>
      <c r="CE242" s="99"/>
      <c r="CF242" s="99"/>
      <c r="CG242" s="99"/>
      <c r="CH242" s="99"/>
      <c r="CI242" s="99"/>
      <c r="CJ242" s="99"/>
      <c r="CK242" s="99"/>
      <c r="CL242" s="99"/>
      <c r="CM242" s="99"/>
      <c r="CN242" s="99"/>
      <c r="CO242" s="99"/>
      <c r="CP242" s="99"/>
      <c r="CQ242" s="99"/>
      <c r="CR242" s="99"/>
      <c r="CS242" s="99"/>
      <c r="CT242" s="99"/>
      <c r="CU242" s="99"/>
      <c r="CV242" s="99"/>
      <c r="CW242" s="99"/>
      <c r="CX242" s="99"/>
      <c r="CY242" s="99"/>
      <c r="CZ242" s="99"/>
      <c r="DA242" s="99"/>
      <c r="DB242" s="99"/>
      <c r="DC242" s="99"/>
      <c r="DD242" s="99"/>
      <c r="DE242" s="99"/>
      <c r="DF242" s="99"/>
      <c r="DG242" s="99"/>
      <c r="DH242" s="99"/>
      <c r="DI242" s="99"/>
      <c r="DJ242" s="139"/>
      <c r="DK242" s="99"/>
      <c r="DL242" s="99"/>
      <c r="DM242" s="99"/>
      <c r="DN242" s="99"/>
      <c r="DO242" s="99"/>
      <c r="DP242" s="99"/>
      <c r="DQ242" s="99"/>
    </row>
    <row r="243" ht="12.0" customHeight="1">
      <c r="A243" s="6"/>
      <c r="B243" s="99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  <c r="BP243" s="99"/>
      <c r="BQ243" s="99"/>
      <c r="BR243" s="99"/>
      <c r="BS243" s="99"/>
      <c r="BT243" s="99"/>
      <c r="BU243" s="99"/>
      <c r="BV243" s="99"/>
      <c r="BW243" s="99"/>
      <c r="BX243" s="99"/>
      <c r="BY243" s="99"/>
      <c r="BZ243" s="99"/>
      <c r="CA243" s="99"/>
      <c r="CB243" s="99"/>
      <c r="CC243" s="99"/>
      <c r="CD243" s="99"/>
      <c r="CE243" s="99"/>
      <c r="CF243" s="99"/>
      <c r="CG243" s="99"/>
      <c r="CH243" s="99"/>
      <c r="CI243" s="99"/>
      <c r="CJ243" s="99"/>
      <c r="CK243" s="99"/>
      <c r="CL243" s="99"/>
      <c r="CM243" s="99"/>
      <c r="CN243" s="99"/>
      <c r="CO243" s="99"/>
      <c r="CP243" s="99"/>
      <c r="CQ243" s="99"/>
      <c r="CR243" s="99"/>
      <c r="CS243" s="99"/>
      <c r="CT243" s="99"/>
      <c r="CU243" s="99"/>
      <c r="CV243" s="99"/>
      <c r="CW243" s="99"/>
      <c r="CX243" s="99"/>
      <c r="CY243" s="99"/>
      <c r="CZ243" s="99"/>
      <c r="DA243" s="99"/>
      <c r="DB243" s="99"/>
      <c r="DC243" s="99"/>
      <c r="DD243" s="99"/>
      <c r="DE243" s="99"/>
      <c r="DF243" s="99"/>
      <c r="DG243" s="99"/>
      <c r="DH243" s="99"/>
      <c r="DI243" s="99"/>
      <c r="DJ243" s="139"/>
      <c r="DK243" s="99"/>
      <c r="DL243" s="99"/>
      <c r="DM243" s="99"/>
      <c r="DN243" s="99"/>
      <c r="DO243" s="99"/>
      <c r="DP243" s="99"/>
      <c r="DQ243" s="99"/>
    </row>
    <row r="244" ht="12.0" customHeight="1">
      <c r="A244" s="6"/>
      <c r="B244" s="99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  <c r="BJ244" s="99"/>
      <c r="BK244" s="99"/>
      <c r="BL244" s="99"/>
      <c r="BM244" s="99"/>
      <c r="BN244" s="99"/>
      <c r="BO244" s="99"/>
      <c r="BP244" s="99"/>
      <c r="BQ244" s="99"/>
      <c r="BR244" s="99"/>
      <c r="BS244" s="99"/>
      <c r="BT244" s="99"/>
      <c r="BU244" s="99"/>
      <c r="BV244" s="99"/>
      <c r="BW244" s="99"/>
      <c r="BX244" s="99"/>
      <c r="BY244" s="99"/>
      <c r="BZ244" s="99"/>
      <c r="CA244" s="99"/>
      <c r="CB244" s="99"/>
      <c r="CC244" s="99"/>
      <c r="CD244" s="99"/>
      <c r="CE244" s="99"/>
      <c r="CF244" s="99"/>
      <c r="CG244" s="99"/>
      <c r="CH244" s="99"/>
      <c r="CI244" s="99"/>
      <c r="CJ244" s="99"/>
      <c r="CK244" s="99"/>
      <c r="CL244" s="99"/>
      <c r="CM244" s="99"/>
      <c r="CN244" s="99"/>
      <c r="CO244" s="99"/>
      <c r="CP244" s="99"/>
      <c r="CQ244" s="99"/>
      <c r="CR244" s="99"/>
      <c r="CS244" s="99"/>
      <c r="CT244" s="99"/>
      <c r="CU244" s="99"/>
      <c r="CV244" s="99"/>
      <c r="CW244" s="99"/>
      <c r="CX244" s="99"/>
      <c r="CY244" s="99"/>
      <c r="CZ244" s="99"/>
      <c r="DA244" s="99"/>
      <c r="DB244" s="99"/>
      <c r="DC244" s="99"/>
      <c r="DD244" s="99"/>
      <c r="DE244" s="99"/>
      <c r="DF244" s="99"/>
      <c r="DG244" s="99"/>
      <c r="DH244" s="99"/>
      <c r="DI244" s="99"/>
      <c r="DJ244" s="139"/>
      <c r="DK244" s="99"/>
      <c r="DL244" s="99"/>
      <c r="DM244" s="99"/>
      <c r="DN244" s="99"/>
      <c r="DO244" s="99"/>
      <c r="DP244" s="99"/>
      <c r="DQ244" s="99"/>
    </row>
    <row r="245" ht="12.0" customHeight="1">
      <c r="A245" s="6"/>
      <c r="B245" s="99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  <c r="BJ245" s="99"/>
      <c r="BK245" s="99"/>
      <c r="BL245" s="99"/>
      <c r="BM245" s="99"/>
      <c r="BN245" s="99"/>
      <c r="BO245" s="99"/>
      <c r="BP245" s="99"/>
      <c r="BQ245" s="99"/>
      <c r="BR245" s="99"/>
      <c r="BS245" s="99"/>
      <c r="BT245" s="99"/>
      <c r="BU245" s="99"/>
      <c r="BV245" s="99"/>
      <c r="BW245" s="99"/>
      <c r="BX245" s="99"/>
      <c r="BY245" s="99"/>
      <c r="BZ245" s="99"/>
      <c r="CA245" s="99"/>
      <c r="CB245" s="99"/>
      <c r="CC245" s="99"/>
      <c r="CD245" s="99"/>
      <c r="CE245" s="99"/>
      <c r="CF245" s="99"/>
      <c r="CG245" s="99"/>
      <c r="CH245" s="99"/>
      <c r="CI245" s="99"/>
      <c r="CJ245" s="99"/>
      <c r="CK245" s="99"/>
      <c r="CL245" s="99"/>
      <c r="CM245" s="99"/>
      <c r="CN245" s="99"/>
      <c r="CO245" s="99"/>
      <c r="CP245" s="99"/>
      <c r="CQ245" s="99"/>
      <c r="CR245" s="99"/>
      <c r="CS245" s="99"/>
      <c r="CT245" s="99"/>
      <c r="CU245" s="99"/>
      <c r="CV245" s="99"/>
      <c r="CW245" s="99"/>
      <c r="CX245" s="99"/>
      <c r="CY245" s="99"/>
      <c r="CZ245" s="99"/>
      <c r="DA245" s="99"/>
      <c r="DB245" s="99"/>
      <c r="DC245" s="99"/>
      <c r="DD245" s="99"/>
      <c r="DE245" s="99"/>
      <c r="DF245" s="99"/>
      <c r="DG245" s="99"/>
      <c r="DH245" s="99"/>
      <c r="DI245" s="99"/>
      <c r="DJ245" s="139"/>
      <c r="DK245" s="99"/>
      <c r="DL245" s="99"/>
      <c r="DM245" s="99"/>
      <c r="DN245" s="99"/>
      <c r="DO245" s="99"/>
      <c r="DP245" s="99"/>
      <c r="DQ245" s="99"/>
    </row>
    <row r="246" ht="12.0" customHeight="1">
      <c r="A246" s="6"/>
      <c r="B246" s="99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  <c r="BJ246" s="99"/>
      <c r="BK246" s="99"/>
      <c r="BL246" s="99"/>
      <c r="BM246" s="99"/>
      <c r="BN246" s="99"/>
      <c r="BO246" s="99"/>
      <c r="BP246" s="99"/>
      <c r="BQ246" s="99"/>
      <c r="BR246" s="99"/>
      <c r="BS246" s="99"/>
      <c r="BT246" s="99"/>
      <c r="BU246" s="99"/>
      <c r="BV246" s="99"/>
      <c r="BW246" s="99"/>
      <c r="BX246" s="99"/>
      <c r="BY246" s="99"/>
      <c r="BZ246" s="99"/>
      <c r="CA246" s="99"/>
      <c r="CB246" s="99"/>
      <c r="CC246" s="99"/>
      <c r="CD246" s="99"/>
      <c r="CE246" s="99"/>
      <c r="CF246" s="99"/>
      <c r="CG246" s="99"/>
      <c r="CH246" s="99"/>
      <c r="CI246" s="99"/>
      <c r="CJ246" s="99"/>
      <c r="CK246" s="99"/>
      <c r="CL246" s="99"/>
      <c r="CM246" s="99"/>
      <c r="CN246" s="99"/>
      <c r="CO246" s="99"/>
      <c r="CP246" s="99"/>
      <c r="CQ246" s="99"/>
      <c r="CR246" s="99"/>
      <c r="CS246" s="99"/>
      <c r="CT246" s="99"/>
      <c r="CU246" s="99"/>
      <c r="CV246" s="99"/>
      <c r="CW246" s="99"/>
      <c r="CX246" s="99"/>
      <c r="CY246" s="99"/>
      <c r="CZ246" s="99"/>
      <c r="DA246" s="99"/>
      <c r="DB246" s="99"/>
      <c r="DC246" s="99"/>
      <c r="DD246" s="99"/>
      <c r="DE246" s="99"/>
      <c r="DF246" s="99"/>
      <c r="DG246" s="99"/>
      <c r="DH246" s="99"/>
      <c r="DI246" s="99"/>
      <c r="DJ246" s="139"/>
      <c r="DK246" s="99"/>
      <c r="DL246" s="99"/>
      <c r="DM246" s="99"/>
      <c r="DN246" s="99"/>
      <c r="DO246" s="99"/>
      <c r="DP246" s="99"/>
      <c r="DQ246" s="99"/>
    </row>
    <row r="247" ht="12.0" customHeight="1">
      <c r="A247" s="6"/>
      <c r="B247" s="99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  <c r="BJ247" s="99"/>
      <c r="BK247" s="99"/>
      <c r="BL247" s="99"/>
      <c r="BM247" s="99"/>
      <c r="BN247" s="99"/>
      <c r="BO247" s="99"/>
      <c r="BP247" s="99"/>
      <c r="BQ247" s="99"/>
      <c r="BR247" s="99"/>
      <c r="BS247" s="99"/>
      <c r="BT247" s="99"/>
      <c r="BU247" s="99"/>
      <c r="BV247" s="99"/>
      <c r="BW247" s="99"/>
      <c r="BX247" s="99"/>
      <c r="BY247" s="99"/>
      <c r="BZ247" s="99"/>
      <c r="CA247" s="99"/>
      <c r="CB247" s="99"/>
      <c r="CC247" s="99"/>
      <c r="CD247" s="99"/>
      <c r="CE247" s="99"/>
      <c r="CF247" s="99"/>
      <c r="CG247" s="99"/>
      <c r="CH247" s="99"/>
      <c r="CI247" s="99"/>
      <c r="CJ247" s="99"/>
      <c r="CK247" s="99"/>
      <c r="CL247" s="99"/>
      <c r="CM247" s="99"/>
      <c r="CN247" s="99"/>
      <c r="CO247" s="99"/>
      <c r="CP247" s="99"/>
      <c r="CQ247" s="99"/>
      <c r="CR247" s="99"/>
      <c r="CS247" s="99"/>
      <c r="CT247" s="99"/>
      <c r="CU247" s="99"/>
      <c r="CV247" s="99"/>
      <c r="CW247" s="99"/>
      <c r="CX247" s="99"/>
      <c r="CY247" s="99"/>
      <c r="CZ247" s="99"/>
      <c r="DA247" s="99"/>
      <c r="DB247" s="99"/>
      <c r="DC247" s="99"/>
      <c r="DD247" s="99"/>
      <c r="DE247" s="99"/>
      <c r="DF247" s="99"/>
      <c r="DG247" s="99"/>
      <c r="DH247" s="99"/>
      <c r="DI247" s="99"/>
      <c r="DJ247" s="139"/>
      <c r="DK247" s="99"/>
      <c r="DL247" s="99"/>
      <c r="DM247" s="99"/>
      <c r="DN247" s="99"/>
      <c r="DO247" s="99"/>
      <c r="DP247" s="99"/>
      <c r="DQ247" s="99"/>
    </row>
    <row r="248" ht="12.0" customHeight="1">
      <c r="A248" s="6"/>
      <c r="B248" s="99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  <c r="BJ248" s="99"/>
      <c r="BK248" s="99"/>
      <c r="BL248" s="99"/>
      <c r="BM248" s="99"/>
      <c r="BN248" s="99"/>
      <c r="BO248" s="99"/>
      <c r="BP248" s="99"/>
      <c r="BQ248" s="99"/>
      <c r="BR248" s="99"/>
      <c r="BS248" s="99"/>
      <c r="BT248" s="99"/>
      <c r="BU248" s="99"/>
      <c r="BV248" s="99"/>
      <c r="BW248" s="99"/>
      <c r="BX248" s="99"/>
      <c r="BY248" s="99"/>
      <c r="BZ248" s="99"/>
      <c r="CA248" s="99"/>
      <c r="CB248" s="99"/>
      <c r="CC248" s="99"/>
      <c r="CD248" s="99"/>
      <c r="CE248" s="99"/>
      <c r="CF248" s="99"/>
      <c r="CG248" s="99"/>
      <c r="CH248" s="99"/>
      <c r="CI248" s="99"/>
      <c r="CJ248" s="99"/>
      <c r="CK248" s="99"/>
      <c r="CL248" s="99"/>
      <c r="CM248" s="99"/>
      <c r="CN248" s="99"/>
      <c r="CO248" s="99"/>
      <c r="CP248" s="99"/>
      <c r="CQ248" s="99"/>
      <c r="CR248" s="99"/>
      <c r="CS248" s="99"/>
      <c r="CT248" s="99"/>
      <c r="CU248" s="99"/>
      <c r="CV248" s="99"/>
      <c r="CW248" s="99"/>
      <c r="CX248" s="99"/>
      <c r="CY248" s="99"/>
      <c r="CZ248" s="99"/>
      <c r="DA248" s="99"/>
      <c r="DB248" s="99"/>
      <c r="DC248" s="99"/>
      <c r="DD248" s="99"/>
      <c r="DE248" s="99"/>
      <c r="DF248" s="99"/>
      <c r="DG248" s="99"/>
      <c r="DH248" s="99"/>
      <c r="DI248" s="99"/>
      <c r="DJ248" s="139"/>
      <c r="DK248" s="99"/>
      <c r="DL248" s="99"/>
      <c r="DM248" s="99"/>
      <c r="DN248" s="99"/>
      <c r="DO248" s="99"/>
      <c r="DP248" s="99"/>
      <c r="DQ248" s="99"/>
    </row>
    <row r="249" ht="12.0" customHeight="1">
      <c r="A249" s="6"/>
      <c r="B249" s="99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  <c r="BJ249" s="99"/>
      <c r="BK249" s="99"/>
      <c r="BL249" s="99"/>
      <c r="BM249" s="99"/>
      <c r="BN249" s="99"/>
      <c r="BO249" s="99"/>
      <c r="BP249" s="99"/>
      <c r="BQ249" s="99"/>
      <c r="BR249" s="99"/>
      <c r="BS249" s="99"/>
      <c r="BT249" s="99"/>
      <c r="BU249" s="99"/>
      <c r="BV249" s="99"/>
      <c r="BW249" s="99"/>
      <c r="BX249" s="99"/>
      <c r="BY249" s="99"/>
      <c r="BZ249" s="99"/>
      <c r="CA249" s="99"/>
      <c r="CB249" s="99"/>
      <c r="CC249" s="99"/>
      <c r="CD249" s="99"/>
      <c r="CE249" s="99"/>
      <c r="CF249" s="99"/>
      <c r="CG249" s="99"/>
      <c r="CH249" s="99"/>
      <c r="CI249" s="99"/>
      <c r="CJ249" s="99"/>
      <c r="CK249" s="99"/>
      <c r="CL249" s="99"/>
      <c r="CM249" s="99"/>
      <c r="CN249" s="99"/>
      <c r="CO249" s="99"/>
      <c r="CP249" s="99"/>
      <c r="CQ249" s="99"/>
      <c r="CR249" s="99"/>
      <c r="CS249" s="99"/>
      <c r="CT249" s="99"/>
      <c r="CU249" s="99"/>
      <c r="CV249" s="99"/>
      <c r="CW249" s="99"/>
      <c r="CX249" s="99"/>
      <c r="CY249" s="99"/>
      <c r="CZ249" s="99"/>
      <c r="DA249" s="99"/>
      <c r="DB249" s="99"/>
      <c r="DC249" s="99"/>
      <c r="DD249" s="99"/>
      <c r="DE249" s="99"/>
      <c r="DF249" s="99"/>
      <c r="DG249" s="99"/>
      <c r="DH249" s="99"/>
      <c r="DI249" s="99"/>
      <c r="DJ249" s="139"/>
      <c r="DK249" s="99"/>
      <c r="DL249" s="99"/>
      <c r="DM249" s="99"/>
      <c r="DN249" s="99"/>
      <c r="DO249" s="99"/>
      <c r="DP249" s="99"/>
      <c r="DQ249" s="99"/>
    </row>
    <row r="250" ht="12.0" customHeight="1">
      <c r="A250" s="6"/>
      <c r="B250" s="99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  <c r="BJ250" s="99"/>
      <c r="BK250" s="99"/>
      <c r="BL250" s="99"/>
      <c r="BM250" s="99"/>
      <c r="BN250" s="99"/>
      <c r="BO250" s="99"/>
      <c r="BP250" s="99"/>
      <c r="BQ250" s="99"/>
      <c r="BR250" s="99"/>
      <c r="BS250" s="99"/>
      <c r="BT250" s="99"/>
      <c r="BU250" s="99"/>
      <c r="BV250" s="99"/>
      <c r="BW250" s="99"/>
      <c r="BX250" s="99"/>
      <c r="BY250" s="99"/>
      <c r="BZ250" s="99"/>
      <c r="CA250" s="99"/>
      <c r="CB250" s="99"/>
      <c r="CC250" s="99"/>
      <c r="CD250" s="99"/>
      <c r="CE250" s="99"/>
      <c r="CF250" s="99"/>
      <c r="CG250" s="99"/>
      <c r="CH250" s="99"/>
      <c r="CI250" s="99"/>
      <c r="CJ250" s="99"/>
      <c r="CK250" s="99"/>
      <c r="CL250" s="99"/>
      <c r="CM250" s="99"/>
      <c r="CN250" s="99"/>
      <c r="CO250" s="99"/>
      <c r="CP250" s="99"/>
      <c r="CQ250" s="99"/>
      <c r="CR250" s="99"/>
      <c r="CS250" s="99"/>
      <c r="CT250" s="99"/>
      <c r="CU250" s="99"/>
      <c r="CV250" s="99"/>
      <c r="CW250" s="99"/>
      <c r="CX250" s="99"/>
      <c r="CY250" s="99"/>
      <c r="CZ250" s="99"/>
      <c r="DA250" s="99"/>
      <c r="DB250" s="99"/>
      <c r="DC250" s="99"/>
      <c r="DD250" s="99"/>
      <c r="DE250" s="99"/>
      <c r="DF250" s="99"/>
      <c r="DG250" s="99"/>
      <c r="DH250" s="99"/>
      <c r="DI250" s="99"/>
      <c r="DJ250" s="139"/>
      <c r="DK250" s="99"/>
      <c r="DL250" s="99"/>
      <c r="DM250" s="99"/>
      <c r="DN250" s="99"/>
      <c r="DO250" s="99"/>
      <c r="DP250" s="99"/>
      <c r="DQ250" s="99"/>
    </row>
    <row r="251" ht="12.0" customHeight="1">
      <c r="A251" s="6"/>
      <c r="B251" s="99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  <c r="BJ251" s="99"/>
      <c r="BK251" s="99"/>
      <c r="BL251" s="99"/>
      <c r="BM251" s="99"/>
      <c r="BN251" s="99"/>
      <c r="BO251" s="99"/>
      <c r="BP251" s="99"/>
      <c r="BQ251" s="99"/>
      <c r="BR251" s="99"/>
      <c r="BS251" s="99"/>
      <c r="BT251" s="99"/>
      <c r="BU251" s="99"/>
      <c r="BV251" s="99"/>
      <c r="BW251" s="99"/>
      <c r="BX251" s="99"/>
      <c r="BY251" s="99"/>
      <c r="BZ251" s="99"/>
      <c r="CA251" s="99"/>
      <c r="CB251" s="99"/>
      <c r="CC251" s="99"/>
      <c r="CD251" s="99"/>
      <c r="CE251" s="99"/>
      <c r="CF251" s="99"/>
      <c r="CG251" s="99"/>
      <c r="CH251" s="99"/>
      <c r="CI251" s="99"/>
      <c r="CJ251" s="99"/>
      <c r="CK251" s="99"/>
      <c r="CL251" s="99"/>
      <c r="CM251" s="99"/>
      <c r="CN251" s="99"/>
      <c r="CO251" s="99"/>
      <c r="CP251" s="99"/>
      <c r="CQ251" s="99"/>
      <c r="CR251" s="99"/>
      <c r="CS251" s="99"/>
      <c r="CT251" s="99"/>
      <c r="CU251" s="99"/>
      <c r="CV251" s="99"/>
      <c r="CW251" s="99"/>
      <c r="CX251" s="99"/>
      <c r="CY251" s="99"/>
      <c r="CZ251" s="99"/>
      <c r="DA251" s="99"/>
      <c r="DB251" s="99"/>
      <c r="DC251" s="99"/>
      <c r="DD251" s="99"/>
      <c r="DE251" s="99"/>
      <c r="DF251" s="99"/>
      <c r="DG251" s="99"/>
      <c r="DH251" s="99"/>
      <c r="DI251" s="99"/>
      <c r="DJ251" s="139"/>
      <c r="DK251" s="99"/>
      <c r="DL251" s="99"/>
      <c r="DM251" s="99"/>
      <c r="DN251" s="99"/>
      <c r="DO251" s="99"/>
      <c r="DP251" s="99"/>
      <c r="DQ251" s="99"/>
    </row>
    <row r="252" ht="12.0" customHeight="1">
      <c r="A252" s="6"/>
      <c r="B252" s="99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  <c r="BL252" s="99"/>
      <c r="BM252" s="99"/>
      <c r="BN252" s="99"/>
      <c r="BO252" s="99"/>
      <c r="BP252" s="99"/>
      <c r="BQ252" s="99"/>
      <c r="BR252" s="99"/>
      <c r="BS252" s="99"/>
      <c r="BT252" s="99"/>
      <c r="BU252" s="99"/>
      <c r="BV252" s="99"/>
      <c r="BW252" s="99"/>
      <c r="BX252" s="99"/>
      <c r="BY252" s="99"/>
      <c r="BZ252" s="99"/>
      <c r="CA252" s="99"/>
      <c r="CB252" s="99"/>
      <c r="CC252" s="99"/>
      <c r="CD252" s="99"/>
      <c r="CE252" s="99"/>
      <c r="CF252" s="99"/>
      <c r="CG252" s="99"/>
      <c r="CH252" s="99"/>
      <c r="CI252" s="99"/>
      <c r="CJ252" s="99"/>
      <c r="CK252" s="99"/>
      <c r="CL252" s="99"/>
      <c r="CM252" s="99"/>
      <c r="CN252" s="99"/>
      <c r="CO252" s="99"/>
      <c r="CP252" s="99"/>
      <c r="CQ252" s="99"/>
      <c r="CR252" s="99"/>
      <c r="CS252" s="99"/>
      <c r="CT252" s="99"/>
      <c r="CU252" s="99"/>
      <c r="CV252" s="99"/>
      <c r="CW252" s="99"/>
      <c r="CX252" s="99"/>
      <c r="CY252" s="99"/>
      <c r="CZ252" s="99"/>
      <c r="DA252" s="99"/>
      <c r="DB252" s="99"/>
      <c r="DC252" s="99"/>
      <c r="DD252" s="99"/>
      <c r="DE252" s="99"/>
      <c r="DF252" s="99"/>
      <c r="DG252" s="99"/>
      <c r="DH252" s="99"/>
      <c r="DI252" s="99"/>
      <c r="DJ252" s="139"/>
      <c r="DK252" s="99"/>
      <c r="DL252" s="99"/>
      <c r="DM252" s="99"/>
      <c r="DN252" s="99"/>
      <c r="DO252" s="99"/>
      <c r="DP252" s="99"/>
      <c r="DQ252" s="99"/>
    </row>
  </sheetData>
  <mergeCells count="34">
    <mergeCell ref="CA6:CB6"/>
    <mergeCell ref="CC6:CD6"/>
    <mergeCell ref="BP14:BQ14"/>
    <mergeCell ref="BY14:BZ14"/>
    <mergeCell ref="BI6:BJ6"/>
    <mergeCell ref="BK6:BL6"/>
    <mergeCell ref="BP6:BQ6"/>
    <mergeCell ref="BR6:BS6"/>
    <mergeCell ref="BT6:BU6"/>
    <mergeCell ref="BY6:BZ6"/>
    <mergeCell ref="A11:A15"/>
    <mergeCell ref="BG6:BH6"/>
    <mergeCell ref="BG14:BH14"/>
    <mergeCell ref="BG23:BH23"/>
    <mergeCell ref="BI23:BJ23"/>
    <mergeCell ref="BK23:BL23"/>
    <mergeCell ref="BP23:BQ23"/>
    <mergeCell ref="BR23:BS23"/>
    <mergeCell ref="BK32:BL32"/>
    <mergeCell ref="BP32:BQ32"/>
    <mergeCell ref="A38:A43"/>
    <mergeCell ref="A44:A48"/>
    <mergeCell ref="BR32:BS32"/>
    <mergeCell ref="BT32:BU32"/>
    <mergeCell ref="BY32:BZ32"/>
    <mergeCell ref="CA32:CB32"/>
    <mergeCell ref="BT23:BU23"/>
    <mergeCell ref="BY23:BZ23"/>
    <mergeCell ref="CA23:CB23"/>
    <mergeCell ref="CC23:CD23"/>
    <mergeCell ref="A28:A32"/>
    <mergeCell ref="BG32:BH32"/>
    <mergeCell ref="BI32:BJ32"/>
    <mergeCell ref="CC32:CD3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0"/>
  <cols>
    <col customWidth="1" min="1" max="1" width="4.86"/>
    <col customWidth="1" min="2" max="2" width="28.0"/>
    <col customWidth="1" min="3" max="6" width="11.14"/>
    <col customWidth="1" min="7" max="9" width="12.14"/>
    <col customWidth="1" min="10" max="14" width="11.14"/>
    <col customWidth="1" min="15" max="15" width="19.0"/>
    <col customWidth="1" min="16" max="19" width="11.14"/>
    <col customWidth="1" min="20" max="28" width="12.14"/>
    <col customWidth="1" min="29" max="30" width="8.71"/>
    <col customWidth="1" min="31" max="31" width="11.0"/>
    <col customWidth="1" min="32" max="44" width="8.71"/>
    <col customWidth="1" min="45" max="45" width="7.0"/>
    <col customWidth="1" min="46" max="56" width="8.71"/>
    <col customWidth="1" min="57" max="57" width="31.14"/>
    <col customWidth="1" min="58" max="62" width="7.86"/>
    <col customWidth="1" min="63" max="63" width="9.57"/>
    <col customWidth="1" min="64" max="64" width="12.14"/>
    <col customWidth="1" hidden="1" min="65" max="65" width="8.71"/>
    <col customWidth="1" hidden="1" min="66" max="66" width="31.14"/>
    <col customWidth="1" hidden="1" min="67" max="68" width="6.57"/>
    <col customWidth="1" hidden="1" min="69" max="69" width="5.29"/>
    <col customWidth="1" hidden="1" min="70" max="70" width="6.57"/>
    <col customWidth="1" hidden="1" min="71" max="71" width="5.29"/>
    <col customWidth="1" hidden="1" min="72" max="72" width="6.57"/>
    <col customWidth="1" hidden="1" min="73" max="73" width="5.29"/>
    <col customWidth="1" hidden="1" min="74" max="83" width="8.71"/>
    <col customWidth="1" min="84" max="104" width="8.71"/>
    <col customWidth="1" min="105" max="105" width="31.86"/>
    <col customWidth="1" min="106" max="108" width="8.71"/>
    <col customWidth="1" min="109" max="109" width="7.86"/>
    <col customWidth="1" min="110" max="116" width="8.71"/>
  </cols>
  <sheetData>
    <row r="1" ht="12.0" customHeight="1">
      <c r="A1" s="104"/>
      <c r="B1" s="104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86" t="s">
        <v>159</v>
      </c>
      <c r="P1" s="105"/>
      <c r="Q1" s="105"/>
      <c r="R1" s="105"/>
      <c r="S1" s="105">
        <v>93.0</v>
      </c>
      <c r="T1" s="105">
        <v>92.0</v>
      </c>
      <c r="U1" s="105">
        <v>94.0</v>
      </c>
      <c r="V1" s="105">
        <v>94.0</v>
      </c>
      <c r="W1" s="105">
        <v>95.0</v>
      </c>
      <c r="X1" s="105">
        <v>95.0</v>
      </c>
      <c r="Y1" s="105">
        <v>100.0</v>
      </c>
      <c r="Z1" s="105">
        <v>100.0</v>
      </c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5"/>
      <c r="CM1" s="105"/>
      <c r="CN1" s="105"/>
      <c r="CO1" s="105"/>
      <c r="CP1" s="105"/>
      <c r="CQ1" s="105"/>
      <c r="CR1" s="105"/>
      <c r="CS1" s="105"/>
      <c r="CT1" s="105"/>
      <c r="CU1" s="105"/>
      <c r="CV1" s="105"/>
      <c r="CW1" s="105"/>
      <c r="CX1" s="105"/>
      <c r="CY1" s="105"/>
      <c r="CZ1" s="104"/>
      <c r="DA1" s="105"/>
      <c r="DB1" s="105"/>
      <c r="DC1" s="187"/>
      <c r="DD1" s="105"/>
      <c r="DE1" s="105"/>
      <c r="DF1" s="105"/>
      <c r="DG1" s="105"/>
      <c r="DH1" s="105"/>
      <c r="DI1" s="105"/>
      <c r="DJ1" s="105"/>
      <c r="DK1" s="104"/>
      <c r="DL1" s="104"/>
    </row>
    <row r="2" ht="12.0" customHeight="1">
      <c r="A2" s="104"/>
      <c r="B2" s="188" t="s">
        <v>137</v>
      </c>
      <c r="C2" s="189">
        <v>2631920.0</v>
      </c>
      <c r="D2" s="189">
        <v>2419610.0</v>
      </c>
      <c r="E2" s="189">
        <v>2440785.0</v>
      </c>
      <c r="F2" s="189">
        <v>2719960.0</v>
      </c>
      <c r="G2" s="189">
        <v>2784380.0</v>
      </c>
      <c r="H2" s="189">
        <v>3449110.0</v>
      </c>
      <c r="I2" s="189">
        <v>3490465.0</v>
      </c>
      <c r="J2" s="189">
        <v>2763985.0</v>
      </c>
      <c r="K2" s="189">
        <v>2516830.0</v>
      </c>
      <c r="L2" s="189">
        <v>2991875.0</v>
      </c>
      <c r="M2" s="189">
        <v>2272310.0</v>
      </c>
      <c r="N2" s="189">
        <v>2247770.0</v>
      </c>
      <c r="O2" s="8">
        <f t="shared" ref="O2:O3" si="1">AVERAGE(C2:N2)</f>
        <v>2727416.667</v>
      </c>
      <c r="P2" s="189">
        <v>2289538.0</v>
      </c>
      <c r="Q2" s="189">
        <v>2118840.0</v>
      </c>
      <c r="R2" s="189">
        <v>2119825.0</v>
      </c>
      <c r="S2" s="189">
        <v>842115.0</v>
      </c>
      <c r="T2" s="189">
        <v>2691810.0</v>
      </c>
      <c r="U2" s="189">
        <v>1796430.0</v>
      </c>
      <c r="V2" s="189">
        <v>3096785.0</v>
      </c>
      <c r="W2" s="189">
        <v>2361245.0</v>
      </c>
      <c r="X2" s="189">
        <v>1239147.0</v>
      </c>
      <c r="Y2" s="189">
        <v>1368128.0</v>
      </c>
      <c r="Z2" s="189">
        <v>1419268.0</v>
      </c>
      <c r="AA2" s="189">
        <v>1568256.0</v>
      </c>
      <c r="AB2" s="8">
        <f t="shared" ref="AB2:AB3" si="2">AVERAGE(P2:AA2)</f>
        <v>1909282.25</v>
      </c>
      <c r="AC2" s="189">
        <v>1753974.0</v>
      </c>
      <c r="AD2" s="189">
        <v>1299788.9200000002</v>
      </c>
      <c r="AE2" s="189">
        <v>1442699.9600000002</v>
      </c>
      <c r="AF2" s="189">
        <v>1507244.4100000001</v>
      </c>
      <c r="AG2" s="189">
        <v>1704075.2800000007</v>
      </c>
      <c r="AH2" s="189">
        <v>1987428.7199999997</v>
      </c>
      <c r="AI2" s="189">
        <v>1958293.4600000002</v>
      </c>
      <c r="AJ2" s="189">
        <v>1777525.1899999997</v>
      </c>
      <c r="AK2" s="189">
        <v>1708048.9000000001</v>
      </c>
      <c r="AL2" s="189">
        <v>1743472.81</v>
      </c>
      <c r="AM2" s="189">
        <v>1740241.4799999997</v>
      </c>
      <c r="AN2" s="189">
        <v>1660213.8499999999</v>
      </c>
      <c r="AO2" s="189">
        <f t="shared" ref="AO2:AO3" si="3">SUM(AC2:AN2)</f>
        <v>20283006.98</v>
      </c>
      <c r="AP2" s="189">
        <v>1629472.7700000003</v>
      </c>
      <c r="AQ2" s="189">
        <v>1488904.7000000002</v>
      </c>
      <c r="AR2" s="189">
        <v>1566696.86</v>
      </c>
      <c r="AS2" s="189">
        <v>1607400.3800000001</v>
      </c>
      <c r="AT2" s="189">
        <v>1629472.7700000003</v>
      </c>
      <c r="AU2" s="189">
        <v>2042581.8299999996</v>
      </c>
      <c r="AV2" s="189"/>
      <c r="AW2" s="189"/>
      <c r="AX2" s="189"/>
      <c r="AY2" s="189"/>
      <c r="AZ2" s="189"/>
      <c r="BA2" s="189"/>
      <c r="BB2" s="10">
        <f t="shared" ref="BB2:BB3" si="4">SUM(AP2:BA2)</f>
        <v>9964529.31</v>
      </c>
      <c r="BC2" s="190"/>
      <c r="BD2" s="190"/>
      <c r="BE2" s="190"/>
      <c r="BF2" s="190"/>
      <c r="BG2" s="190"/>
      <c r="BH2" s="190"/>
      <c r="BI2" s="190"/>
      <c r="BJ2" s="190"/>
      <c r="BK2" s="190"/>
      <c r="BL2" s="190"/>
      <c r="BM2" s="190"/>
      <c r="BN2" s="190"/>
      <c r="BO2" s="190"/>
      <c r="BP2" s="190"/>
      <c r="BQ2" s="190"/>
      <c r="BR2" s="190"/>
      <c r="BS2" s="190"/>
      <c r="BT2" s="190"/>
      <c r="BU2" s="190"/>
      <c r="BV2" s="190"/>
      <c r="BW2" s="190"/>
      <c r="BX2" s="190"/>
      <c r="BY2" s="190"/>
      <c r="BZ2" s="190"/>
      <c r="CA2" s="190"/>
      <c r="CB2" s="190"/>
      <c r="CC2" s="190"/>
      <c r="CD2" s="190"/>
      <c r="CE2" s="190"/>
      <c r="CF2" s="190"/>
      <c r="CG2" s="190"/>
      <c r="CH2" s="190"/>
      <c r="CI2" s="190"/>
      <c r="CJ2" s="190"/>
      <c r="CK2" s="190"/>
      <c r="CL2" s="190"/>
      <c r="CM2" s="190"/>
      <c r="CN2" s="190"/>
      <c r="CO2" s="190"/>
      <c r="CP2" s="190"/>
      <c r="CQ2" s="190"/>
      <c r="CR2" s="190"/>
      <c r="CS2" s="190"/>
      <c r="CT2" s="190"/>
      <c r="CU2" s="190"/>
      <c r="CV2" s="190"/>
      <c r="CW2" s="190"/>
      <c r="CX2" s="190"/>
      <c r="CY2" s="190"/>
      <c r="CZ2" s="104"/>
      <c r="DA2" s="105"/>
      <c r="DB2" s="191">
        <v>0.75</v>
      </c>
      <c r="DC2" s="105"/>
      <c r="DD2" s="105"/>
      <c r="DE2" s="105"/>
      <c r="DF2" s="105"/>
      <c r="DG2" s="105"/>
      <c r="DH2" s="105"/>
      <c r="DI2" s="105"/>
      <c r="DJ2" s="105"/>
      <c r="DK2" s="104"/>
      <c r="DL2" s="104"/>
    </row>
    <row r="3" ht="12.0" customHeight="1">
      <c r="A3" s="104"/>
      <c r="B3" s="192" t="s">
        <v>2</v>
      </c>
      <c r="C3" s="190">
        <v>2280290.0</v>
      </c>
      <c r="D3" s="190">
        <v>2079285.0</v>
      </c>
      <c r="E3" s="190">
        <v>2169380.0</v>
      </c>
      <c r="F3" s="190">
        <v>2711660.0</v>
      </c>
      <c r="G3" s="190">
        <v>2665650.0</v>
      </c>
      <c r="H3" s="190">
        <v>3449110.0</v>
      </c>
      <c r="I3" s="190">
        <v>3490465.0</v>
      </c>
      <c r="J3" s="190">
        <v>2763985.0</v>
      </c>
      <c r="K3" s="190">
        <v>2516830.0</v>
      </c>
      <c r="L3" s="190">
        <v>2991875.0</v>
      </c>
      <c r="M3" s="190">
        <f>2272310-M26</f>
        <v>2246058.352</v>
      </c>
      <c r="N3" s="190">
        <f>2247770-N26</f>
        <v>2214335</v>
      </c>
      <c r="O3" s="13">
        <f t="shared" si="1"/>
        <v>2631576.946</v>
      </c>
      <c r="P3" s="190">
        <v>2289538.0</v>
      </c>
      <c r="Q3" s="190">
        <v>2118840.0</v>
      </c>
      <c r="R3" s="190">
        <v>2119825.0</v>
      </c>
      <c r="S3" s="190">
        <v>842115.0</v>
      </c>
      <c r="T3" s="190">
        <v>2691810.0</v>
      </c>
      <c r="U3" s="190">
        <v>1796430.0</v>
      </c>
      <c r="V3" s="190">
        <v>3096785.0</v>
      </c>
      <c r="W3" s="190">
        <v>2361245.0</v>
      </c>
      <c r="X3" s="190">
        <v>1081779.0</v>
      </c>
      <c r="Y3" s="190">
        <v>1253347.0</v>
      </c>
      <c r="Z3" s="190">
        <v>1297924.0</v>
      </c>
      <c r="AA3" s="190">
        <v>1463852.0</v>
      </c>
      <c r="AB3" s="13">
        <f t="shared" si="2"/>
        <v>1867790.833</v>
      </c>
      <c r="AC3" s="190">
        <v>1620652.0</v>
      </c>
      <c r="AD3" s="190">
        <v>1172328.5899999999</v>
      </c>
      <c r="AE3" s="190">
        <v>1331219.33</v>
      </c>
      <c r="AF3" s="190">
        <v>1439682.3000000003</v>
      </c>
      <c r="AG3" s="190">
        <v>1584486.2400000007</v>
      </c>
      <c r="AH3" s="190">
        <v>1838177.2599999998</v>
      </c>
      <c r="AI3" s="190">
        <v>1845023.9000000001</v>
      </c>
      <c r="AJ3" s="190">
        <v>1712476.5199999998</v>
      </c>
      <c r="AK3" s="190">
        <v>1682012.6900000002</v>
      </c>
      <c r="AL3" s="190">
        <v>1706404.1800000002</v>
      </c>
      <c r="AM3" s="190">
        <v>933331.1599999997</v>
      </c>
      <c r="AN3" s="190">
        <v>1615753.0099999998</v>
      </c>
      <c r="AO3" s="190">
        <f t="shared" si="3"/>
        <v>18481547.18</v>
      </c>
      <c r="AP3" s="190">
        <v>1589440.64</v>
      </c>
      <c r="AQ3" s="190">
        <v>1455345.9400000002</v>
      </c>
      <c r="AR3" s="190">
        <v>1526044.7199999995</v>
      </c>
      <c r="AS3" s="190">
        <v>1566470.04</v>
      </c>
      <c r="AT3" s="190">
        <v>1589440.6400000001</v>
      </c>
      <c r="AU3" s="190">
        <v>1995696.31</v>
      </c>
      <c r="AV3" s="190"/>
      <c r="AW3" s="190"/>
      <c r="AX3" s="190"/>
      <c r="AY3" s="190"/>
      <c r="AZ3" s="190"/>
      <c r="BA3" s="190"/>
      <c r="BB3" s="15">
        <f t="shared" si="4"/>
        <v>9722438.29</v>
      </c>
      <c r="BC3" s="190"/>
      <c r="BD3" s="190"/>
      <c r="BE3" s="190"/>
      <c r="BF3" s="190"/>
      <c r="BG3" s="190"/>
      <c r="BH3" s="190"/>
      <c r="BI3" s="190"/>
      <c r="BJ3" s="190"/>
      <c r="BK3" s="190"/>
      <c r="BL3" s="190"/>
      <c r="BM3" s="190"/>
      <c r="BN3" s="190"/>
      <c r="BO3" s="190"/>
      <c r="BP3" s="190"/>
      <c r="BQ3" s="190"/>
      <c r="BR3" s="190"/>
      <c r="BS3" s="190"/>
      <c r="BT3" s="190"/>
      <c r="BU3" s="190"/>
      <c r="BV3" s="190"/>
      <c r="BW3" s="190"/>
      <c r="BX3" s="190"/>
      <c r="BY3" s="190"/>
      <c r="BZ3" s="190"/>
      <c r="CA3" s="190"/>
      <c r="CB3" s="190"/>
      <c r="CC3" s="190"/>
      <c r="CD3" s="190"/>
      <c r="CE3" s="190"/>
      <c r="CF3" s="190"/>
      <c r="CG3" s="190"/>
      <c r="CH3" s="190"/>
      <c r="CI3" s="190"/>
      <c r="CJ3" s="190"/>
      <c r="CK3" s="190"/>
      <c r="CL3" s="190"/>
      <c r="CM3" s="190"/>
      <c r="CN3" s="190"/>
      <c r="CO3" s="190"/>
      <c r="CP3" s="190"/>
      <c r="CQ3" s="190"/>
      <c r="CR3" s="190"/>
      <c r="CS3" s="190"/>
      <c r="CT3" s="190"/>
      <c r="CU3" s="190"/>
      <c r="CV3" s="190"/>
      <c r="CW3" s="190"/>
      <c r="CX3" s="190"/>
      <c r="CY3" s="190"/>
      <c r="CZ3" s="104"/>
      <c r="DA3" s="117"/>
      <c r="DB3" s="193" t="s">
        <v>55</v>
      </c>
      <c r="DC3" s="193" t="s">
        <v>56</v>
      </c>
      <c r="DD3" s="193"/>
      <c r="DE3" s="193" t="s">
        <v>57</v>
      </c>
      <c r="DF3" s="193"/>
      <c r="DG3" s="193" t="s">
        <v>58</v>
      </c>
      <c r="DH3" s="193"/>
      <c r="DI3" s="105"/>
      <c r="DJ3" s="105"/>
      <c r="DK3" s="104"/>
      <c r="DL3" s="104"/>
    </row>
    <row r="4" ht="12.0" customHeight="1">
      <c r="A4" s="104"/>
      <c r="B4" s="194" t="s">
        <v>3</v>
      </c>
      <c r="C4" s="195">
        <f t="shared" ref="C4:AO4" si="5">C3/C2</f>
        <v>0.8663979148</v>
      </c>
      <c r="D4" s="195">
        <f t="shared" si="5"/>
        <v>0.8593471675</v>
      </c>
      <c r="E4" s="195">
        <f t="shared" si="5"/>
        <v>0.8888042167</v>
      </c>
      <c r="F4" s="195">
        <f t="shared" si="5"/>
        <v>0.9969484845</v>
      </c>
      <c r="G4" s="196">
        <f t="shared" si="5"/>
        <v>0.9573585502</v>
      </c>
      <c r="H4" s="196">
        <f t="shared" si="5"/>
        <v>1</v>
      </c>
      <c r="I4" s="196">
        <f t="shared" si="5"/>
        <v>1</v>
      </c>
      <c r="J4" s="196">
        <f t="shared" si="5"/>
        <v>1</v>
      </c>
      <c r="K4" s="196">
        <f t="shared" si="5"/>
        <v>1</v>
      </c>
      <c r="L4" s="196">
        <f t="shared" si="5"/>
        <v>1</v>
      </c>
      <c r="M4" s="195">
        <f t="shared" si="5"/>
        <v>0.988447154</v>
      </c>
      <c r="N4" s="195">
        <f t="shared" si="5"/>
        <v>0.9851252575</v>
      </c>
      <c r="O4" s="195">
        <f t="shared" si="5"/>
        <v>0.9648606237</v>
      </c>
      <c r="P4" s="196">
        <f t="shared" si="5"/>
        <v>1</v>
      </c>
      <c r="Q4" s="196">
        <f t="shared" si="5"/>
        <v>1</v>
      </c>
      <c r="R4" s="196">
        <f t="shared" si="5"/>
        <v>1</v>
      </c>
      <c r="S4" s="196">
        <f t="shared" si="5"/>
        <v>1</v>
      </c>
      <c r="T4" s="196">
        <f t="shared" si="5"/>
        <v>1</v>
      </c>
      <c r="U4" s="196">
        <f t="shared" si="5"/>
        <v>1</v>
      </c>
      <c r="V4" s="196">
        <f t="shared" si="5"/>
        <v>1</v>
      </c>
      <c r="W4" s="196">
        <f t="shared" si="5"/>
        <v>1</v>
      </c>
      <c r="X4" s="196">
        <f t="shared" si="5"/>
        <v>0.8730029609</v>
      </c>
      <c r="Y4" s="196">
        <f t="shared" si="5"/>
        <v>0.9161036102</v>
      </c>
      <c r="Z4" s="196">
        <f t="shared" si="5"/>
        <v>0.9145024055</v>
      </c>
      <c r="AA4" s="196">
        <f t="shared" si="5"/>
        <v>0.9334266854</v>
      </c>
      <c r="AB4" s="196">
        <f t="shared" si="5"/>
        <v>0.9782685789</v>
      </c>
      <c r="AC4" s="196">
        <f t="shared" si="5"/>
        <v>0.923988611</v>
      </c>
      <c r="AD4" s="196">
        <f t="shared" si="5"/>
        <v>0.90193767</v>
      </c>
      <c r="AE4" s="197">
        <f t="shared" si="5"/>
        <v>0.9227277791</v>
      </c>
      <c r="AF4" s="196">
        <f t="shared" si="5"/>
        <v>0.9551750801</v>
      </c>
      <c r="AG4" s="196">
        <f t="shared" si="5"/>
        <v>0.9298217389</v>
      </c>
      <c r="AH4" s="196">
        <f t="shared" si="5"/>
        <v>0.9249022325</v>
      </c>
      <c r="AI4" s="196">
        <f t="shared" si="5"/>
        <v>0.942159047</v>
      </c>
      <c r="AJ4" s="196">
        <f t="shared" si="5"/>
        <v>0.9634049237</v>
      </c>
      <c r="AK4" s="196">
        <f t="shared" si="5"/>
        <v>0.9847567537</v>
      </c>
      <c r="AL4" s="196">
        <f t="shared" si="5"/>
        <v>0.9787386246</v>
      </c>
      <c r="AM4" s="196">
        <f t="shared" si="5"/>
        <v>0.5363227867</v>
      </c>
      <c r="AN4" s="196">
        <f t="shared" si="5"/>
        <v>0.9732198114</v>
      </c>
      <c r="AO4" s="196">
        <f t="shared" si="5"/>
        <v>0.9111837904</v>
      </c>
      <c r="AP4" s="196">
        <f t="shared" ref="AP4:BA4" si="6">IFERROR(AP3/AP2,0)</f>
        <v>0.9754324646</v>
      </c>
      <c r="AQ4" s="196">
        <f t="shared" si="6"/>
        <v>0.9774607737</v>
      </c>
      <c r="AR4" s="196">
        <f t="shared" si="6"/>
        <v>0.9740523256</v>
      </c>
      <c r="AS4" s="196">
        <f t="shared" si="6"/>
        <v>0.9745363131</v>
      </c>
      <c r="AT4" s="196">
        <f t="shared" si="6"/>
        <v>0.9754324646</v>
      </c>
      <c r="AU4" s="196">
        <f t="shared" si="6"/>
        <v>0.9770459527</v>
      </c>
      <c r="AV4" s="196">
        <f t="shared" si="6"/>
        <v>0</v>
      </c>
      <c r="AW4" s="196">
        <f t="shared" si="6"/>
        <v>0</v>
      </c>
      <c r="AX4" s="196">
        <f t="shared" si="6"/>
        <v>0</v>
      </c>
      <c r="AY4" s="196">
        <f t="shared" si="6"/>
        <v>0</v>
      </c>
      <c r="AZ4" s="196">
        <f t="shared" si="6"/>
        <v>0</v>
      </c>
      <c r="BA4" s="196">
        <f t="shared" si="6"/>
        <v>0</v>
      </c>
      <c r="BB4" s="19">
        <f>BB3/BB2</f>
        <v>0.975704721</v>
      </c>
      <c r="BC4" s="198"/>
      <c r="BD4" s="198"/>
      <c r="BE4" s="198"/>
      <c r="BF4" s="198"/>
      <c r="BG4" s="198"/>
      <c r="BH4" s="198"/>
      <c r="BI4" s="198"/>
      <c r="BJ4" s="198"/>
      <c r="BK4" s="198"/>
      <c r="BL4" s="198"/>
      <c r="BM4" s="198"/>
      <c r="BN4" s="198"/>
      <c r="BO4" s="198"/>
      <c r="BP4" s="198"/>
      <c r="BQ4" s="198"/>
      <c r="BR4" s="198"/>
      <c r="BS4" s="198"/>
      <c r="BT4" s="198"/>
      <c r="BU4" s="198"/>
      <c r="BV4" s="198"/>
      <c r="BW4" s="198"/>
      <c r="BX4" s="198"/>
      <c r="BY4" s="198"/>
      <c r="BZ4" s="198"/>
      <c r="CA4" s="198"/>
      <c r="CB4" s="198"/>
      <c r="CC4" s="198"/>
      <c r="CD4" s="198"/>
      <c r="CE4" s="198"/>
      <c r="CF4" s="198"/>
      <c r="CG4" s="198"/>
      <c r="CH4" s="198"/>
      <c r="CI4" s="198"/>
      <c r="CJ4" s="198"/>
      <c r="CK4" s="198"/>
      <c r="CL4" s="198"/>
      <c r="CM4" s="198"/>
      <c r="CN4" s="198"/>
      <c r="CO4" s="198"/>
      <c r="CP4" s="198"/>
      <c r="CQ4" s="198"/>
      <c r="CR4" s="198"/>
      <c r="CS4" s="198"/>
      <c r="CT4" s="198"/>
      <c r="CU4" s="198"/>
      <c r="CV4" s="198"/>
      <c r="CW4" s="198"/>
      <c r="CX4" s="198"/>
      <c r="CY4" s="198"/>
      <c r="CZ4" s="104"/>
      <c r="DA4" s="199" t="s">
        <v>60</v>
      </c>
      <c r="DB4" s="200" t="s">
        <v>84</v>
      </c>
      <c r="DC4" s="201" t="s">
        <v>62</v>
      </c>
      <c r="DD4" s="202" t="s">
        <v>63</v>
      </c>
      <c r="DE4" s="203" t="s">
        <v>62</v>
      </c>
      <c r="DF4" s="200" t="s">
        <v>63</v>
      </c>
      <c r="DG4" s="203" t="s">
        <v>62</v>
      </c>
      <c r="DH4" s="200" t="s">
        <v>63</v>
      </c>
      <c r="DI4" s="105"/>
      <c r="DJ4" s="105"/>
      <c r="DK4" s="104"/>
      <c r="DL4" s="104"/>
    </row>
    <row r="5" ht="12.0" customHeight="1">
      <c r="A5" s="104"/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5"/>
      <c r="CC5" s="105"/>
      <c r="CD5" s="105"/>
      <c r="CE5" s="105"/>
      <c r="CF5" s="105"/>
      <c r="CG5" s="105"/>
      <c r="CH5" s="105"/>
      <c r="CI5" s="105"/>
      <c r="CJ5" s="105"/>
      <c r="CK5" s="105"/>
      <c r="CL5" s="105"/>
      <c r="CM5" s="105"/>
      <c r="CN5" s="105"/>
      <c r="CO5" s="105"/>
      <c r="CP5" s="105"/>
      <c r="CQ5" s="105"/>
      <c r="CR5" s="105"/>
      <c r="CS5" s="105"/>
      <c r="CT5" s="105"/>
      <c r="CU5" s="105"/>
      <c r="CV5" s="105"/>
      <c r="CW5" s="105"/>
      <c r="CX5" s="105"/>
      <c r="CY5" s="105"/>
      <c r="CZ5" s="104"/>
      <c r="DA5" s="46" t="s">
        <v>66</v>
      </c>
      <c r="DB5" s="117">
        <f t="shared" ref="DB5:DG5" si="7">DB14/365/1000</f>
        <v>30.24490063</v>
      </c>
      <c r="DC5" s="117">
        <f t="shared" si="7"/>
        <v>45.61145205</v>
      </c>
      <c r="DD5" s="117">
        <f t="shared" si="7"/>
        <v>36.70124337</v>
      </c>
      <c r="DE5" s="117">
        <f t="shared" si="7"/>
        <v>49.30088767</v>
      </c>
      <c r="DF5" s="117">
        <f t="shared" si="7"/>
        <v>55.56988214</v>
      </c>
      <c r="DG5" s="117">
        <f t="shared" si="7"/>
        <v>53.2</v>
      </c>
      <c r="DH5" s="117"/>
      <c r="DI5" s="105"/>
      <c r="DJ5" s="105"/>
      <c r="DK5" s="104"/>
      <c r="DL5" s="104"/>
    </row>
    <row r="6" ht="12.0" customHeight="1">
      <c r="A6" s="204"/>
      <c r="B6" s="205" t="s">
        <v>138</v>
      </c>
      <c r="C6" s="206" t="s">
        <v>6</v>
      </c>
      <c r="D6" s="206" t="s">
        <v>7</v>
      </c>
      <c r="E6" s="206" t="s">
        <v>8</v>
      </c>
      <c r="F6" s="206" t="s">
        <v>9</v>
      </c>
      <c r="G6" s="206" t="s">
        <v>10</v>
      </c>
      <c r="H6" s="206" t="s">
        <v>11</v>
      </c>
      <c r="I6" s="206" t="s">
        <v>12</v>
      </c>
      <c r="J6" s="206" t="s">
        <v>13</v>
      </c>
      <c r="K6" s="206" t="s">
        <v>14</v>
      </c>
      <c r="L6" s="206" t="s">
        <v>15</v>
      </c>
      <c r="M6" s="206" t="s">
        <v>16</v>
      </c>
      <c r="N6" s="206" t="s">
        <v>17</v>
      </c>
      <c r="O6" s="207" t="s">
        <v>160</v>
      </c>
      <c r="P6" s="206" t="s">
        <v>19</v>
      </c>
      <c r="Q6" s="206" t="s">
        <v>20</v>
      </c>
      <c r="R6" s="206" t="s">
        <v>21</v>
      </c>
      <c r="S6" s="206" t="s">
        <v>22</v>
      </c>
      <c r="T6" s="206" t="s">
        <v>23</v>
      </c>
      <c r="U6" s="206" t="s">
        <v>24</v>
      </c>
      <c r="V6" s="206" t="s">
        <v>25</v>
      </c>
      <c r="W6" s="206" t="s">
        <v>26</v>
      </c>
      <c r="X6" s="202" t="s">
        <v>27</v>
      </c>
      <c r="Y6" s="202" t="s">
        <v>28</v>
      </c>
      <c r="Z6" s="202" t="s">
        <v>29</v>
      </c>
      <c r="AA6" s="202" t="s">
        <v>30</v>
      </c>
      <c r="AB6" s="207">
        <v>2023.0</v>
      </c>
      <c r="AC6" s="202" t="s">
        <v>31</v>
      </c>
      <c r="AD6" s="208" t="s">
        <v>32</v>
      </c>
      <c r="AE6" s="208" t="s">
        <v>33</v>
      </c>
      <c r="AF6" s="208" t="s">
        <v>34</v>
      </c>
      <c r="AG6" s="208" t="s">
        <v>35</v>
      </c>
      <c r="AH6" s="208" t="s">
        <v>36</v>
      </c>
      <c r="AI6" s="208" t="s">
        <v>37</v>
      </c>
      <c r="AJ6" s="208" t="s">
        <v>38</v>
      </c>
      <c r="AK6" s="208" t="s">
        <v>39</v>
      </c>
      <c r="AL6" s="208" t="s">
        <v>40</v>
      </c>
      <c r="AM6" s="208" t="s">
        <v>41</v>
      </c>
      <c r="AN6" s="208" t="s">
        <v>42</v>
      </c>
      <c r="AO6" s="207">
        <v>2024.0</v>
      </c>
      <c r="AP6" s="208" t="s">
        <v>43</v>
      </c>
      <c r="AQ6" s="208" t="s">
        <v>44</v>
      </c>
      <c r="AR6" s="208" t="s">
        <v>45</v>
      </c>
      <c r="AS6" s="208" t="s">
        <v>46</v>
      </c>
      <c r="AT6" s="208" t="s">
        <v>47</v>
      </c>
      <c r="AU6" s="208" t="s">
        <v>48</v>
      </c>
      <c r="AV6" s="208" t="s">
        <v>49</v>
      </c>
      <c r="AW6" s="208" t="s">
        <v>50</v>
      </c>
      <c r="AX6" s="208" t="s">
        <v>51</v>
      </c>
      <c r="AY6" s="208" t="s">
        <v>52</v>
      </c>
      <c r="AZ6" s="208" t="s">
        <v>53</v>
      </c>
      <c r="BA6" s="208" t="s">
        <v>54</v>
      </c>
      <c r="BB6" s="207">
        <v>2025.0</v>
      </c>
      <c r="BC6" s="105"/>
      <c r="BD6" s="105"/>
      <c r="BE6" s="117"/>
      <c r="BF6" s="193" t="s">
        <v>55</v>
      </c>
      <c r="BG6" s="193" t="s">
        <v>56</v>
      </c>
      <c r="BH6" s="193"/>
      <c r="BI6" s="193" t="s">
        <v>57</v>
      </c>
      <c r="BJ6" s="193"/>
      <c r="BK6" s="193" t="s">
        <v>58</v>
      </c>
      <c r="BL6" s="193"/>
      <c r="BM6" s="105"/>
      <c r="BN6" s="117"/>
      <c r="BO6" s="193" t="s">
        <v>55</v>
      </c>
      <c r="BP6" s="193" t="s">
        <v>56</v>
      </c>
      <c r="BQ6" s="193"/>
      <c r="BR6" s="193" t="s">
        <v>57</v>
      </c>
      <c r="BS6" s="193"/>
      <c r="BT6" s="193" t="s">
        <v>58</v>
      </c>
      <c r="BU6" s="193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05"/>
      <c r="CK6" s="105"/>
      <c r="CL6" s="105"/>
      <c r="CM6" s="105"/>
      <c r="CN6" s="105"/>
      <c r="CO6" s="105"/>
      <c r="CP6" s="105"/>
      <c r="CQ6" s="105"/>
      <c r="CR6" s="105"/>
      <c r="CS6" s="105"/>
      <c r="CT6" s="105"/>
      <c r="CU6" s="105"/>
      <c r="CV6" s="105"/>
      <c r="CW6" s="105"/>
      <c r="CX6" s="105"/>
      <c r="CY6" s="105"/>
      <c r="CZ6" s="204"/>
      <c r="DA6" s="46" t="s">
        <v>69</v>
      </c>
      <c r="DB6" s="117">
        <f>SUM(C29:N29)/365/1000</f>
        <v>29.25883986</v>
      </c>
      <c r="DC6" s="117">
        <f>DC8*DC5</f>
        <v>36.48916164</v>
      </c>
      <c r="DD6" s="117">
        <f>SUM(P29:AA29)/365/1000</f>
        <v>35.38055945</v>
      </c>
      <c r="DE6" s="117">
        <f>DE5*DE8</f>
        <v>41.90575452</v>
      </c>
      <c r="DF6" s="117">
        <f>SUM(AC29:AN29)/365/1000</f>
        <v>50.63437584</v>
      </c>
      <c r="DG6" s="117">
        <f>DG5*DG8</f>
        <v>47.88</v>
      </c>
      <c r="DH6" s="117"/>
      <c r="DI6" s="209"/>
      <c r="DJ6" s="209"/>
      <c r="DK6" s="204"/>
      <c r="DL6" s="204"/>
    </row>
    <row r="7" ht="12.0" customHeight="1">
      <c r="A7" s="104"/>
      <c r="B7" s="113" t="s">
        <v>59</v>
      </c>
      <c r="C7" s="114">
        <v>31.0</v>
      </c>
      <c r="D7" s="114">
        <v>28.0</v>
      </c>
      <c r="E7" s="114">
        <v>31.0</v>
      </c>
      <c r="F7" s="114">
        <v>30.0</v>
      </c>
      <c r="G7" s="114">
        <v>31.0</v>
      </c>
      <c r="H7" s="114">
        <v>30.0</v>
      </c>
      <c r="I7" s="114">
        <v>31.0</v>
      </c>
      <c r="J7" s="114">
        <v>31.0</v>
      </c>
      <c r="K7" s="114">
        <v>30.0</v>
      </c>
      <c r="L7" s="114">
        <v>31.0</v>
      </c>
      <c r="M7" s="114">
        <v>30.0</v>
      </c>
      <c r="N7" s="114">
        <v>31.0</v>
      </c>
      <c r="O7" s="157">
        <f>SUM(C7:N7)</f>
        <v>365</v>
      </c>
      <c r="P7" s="114">
        <v>31.0</v>
      </c>
      <c r="Q7" s="114">
        <v>28.0</v>
      </c>
      <c r="R7" s="114">
        <v>31.0</v>
      </c>
      <c r="S7" s="114">
        <v>30.0</v>
      </c>
      <c r="T7" s="114">
        <v>31.0</v>
      </c>
      <c r="U7" s="114">
        <v>30.0</v>
      </c>
      <c r="V7" s="114">
        <v>31.0</v>
      </c>
      <c r="W7" s="114">
        <v>31.0</v>
      </c>
      <c r="X7" s="114">
        <v>30.0</v>
      </c>
      <c r="Y7" s="114">
        <v>31.0</v>
      </c>
      <c r="Z7" s="114">
        <v>30.0</v>
      </c>
      <c r="AA7" s="114">
        <v>31.0</v>
      </c>
      <c r="AB7" s="157">
        <f>SUM(P7:AA7)</f>
        <v>365</v>
      </c>
      <c r="AC7" s="117">
        <v>31.0</v>
      </c>
      <c r="AD7" s="117">
        <v>29.0</v>
      </c>
      <c r="AE7" s="114">
        <v>31.0</v>
      </c>
      <c r="AF7" s="114">
        <v>30.0</v>
      </c>
      <c r="AG7" s="114">
        <v>31.0</v>
      </c>
      <c r="AH7" s="114">
        <v>30.0</v>
      </c>
      <c r="AI7" s="114">
        <v>31.0</v>
      </c>
      <c r="AJ7" s="114">
        <v>31.0</v>
      </c>
      <c r="AK7" s="114">
        <v>30.0</v>
      </c>
      <c r="AL7" s="114">
        <v>31.0</v>
      </c>
      <c r="AM7" s="114">
        <v>30.0</v>
      </c>
      <c r="AN7" s="114">
        <v>31.0</v>
      </c>
      <c r="AO7" s="181">
        <f>SUM(AC7:AN7)</f>
        <v>366</v>
      </c>
      <c r="AP7" s="117">
        <v>31.0</v>
      </c>
      <c r="AQ7" s="117">
        <v>28.0</v>
      </c>
      <c r="AR7" s="114">
        <v>31.0</v>
      </c>
      <c r="AS7" s="114">
        <v>30.0</v>
      </c>
      <c r="AT7" s="114">
        <v>31.0</v>
      </c>
      <c r="AU7" s="114">
        <v>30.0</v>
      </c>
      <c r="AV7" s="114">
        <v>31.0</v>
      </c>
      <c r="AW7" s="114">
        <v>31.0</v>
      </c>
      <c r="AX7" s="114">
        <v>30.0</v>
      </c>
      <c r="AY7" s="114">
        <v>31.0</v>
      </c>
      <c r="AZ7" s="114">
        <v>30.0</v>
      </c>
      <c r="BA7" s="114">
        <v>31.0</v>
      </c>
      <c r="BB7" s="181">
        <f>SUM(AP7:AU7)</f>
        <v>181</v>
      </c>
      <c r="BC7" s="105"/>
      <c r="BD7" s="105"/>
      <c r="BE7" s="199" t="s">
        <v>60</v>
      </c>
      <c r="BF7" s="200" t="s">
        <v>84</v>
      </c>
      <c r="BG7" s="201" t="s">
        <v>62</v>
      </c>
      <c r="BH7" s="202" t="s">
        <v>63</v>
      </c>
      <c r="BI7" s="203" t="s">
        <v>62</v>
      </c>
      <c r="BJ7" s="200" t="s">
        <v>63</v>
      </c>
      <c r="BK7" s="203" t="s">
        <v>62</v>
      </c>
      <c r="BL7" s="200" t="s">
        <v>63</v>
      </c>
      <c r="BM7" s="105"/>
      <c r="BN7" s="199" t="s">
        <v>60</v>
      </c>
      <c r="BO7" s="200" t="s">
        <v>84</v>
      </c>
      <c r="BP7" s="201" t="s">
        <v>62</v>
      </c>
      <c r="BQ7" s="202" t="s">
        <v>63</v>
      </c>
      <c r="BR7" s="203" t="s">
        <v>62</v>
      </c>
      <c r="BS7" s="200" t="s">
        <v>63</v>
      </c>
      <c r="BT7" s="203" t="s">
        <v>62</v>
      </c>
      <c r="BU7" s="200" t="s">
        <v>63</v>
      </c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>
        <f>SUM(P29:AA29)</f>
        <v>12913904.2</v>
      </c>
      <c r="CH7" s="105"/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4"/>
      <c r="DA7" s="46" t="s">
        <v>72</v>
      </c>
      <c r="DB7" s="117">
        <f t="shared" ref="DB7:DG7" si="8">DB6/365*10^6</f>
        <v>80161.20511</v>
      </c>
      <c r="DC7" s="117">
        <f t="shared" si="8"/>
        <v>99970.30587</v>
      </c>
      <c r="DD7" s="117">
        <f t="shared" si="8"/>
        <v>96933.03958</v>
      </c>
      <c r="DE7" s="117">
        <f t="shared" si="8"/>
        <v>114810.2864</v>
      </c>
      <c r="DF7" s="117">
        <f t="shared" si="8"/>
        <v>138724.3174</v>
      </c>
      <c r="DG7" s="117">
        <f t="shared" si="8"/>
        <v>131178.0822</v>
      </c>
      <c r="DH7" s="117"/>
      <c r="DI7" s="105"/>
      <c r="DJ7" s="105"/>
      <c r="DK7" s="104"/>
      <c r="DL7" s="104"/>
    </row>
    <row r="8" ht="12.0" customHeight="1">
      <c r="A8" s="104"/>
      <c r="B8" s="113" t="s">
        <v>64</v>
      </c>
      <c r="C8" s="114">
        <v>35.0</v>
      </c>
      <c r="D8" s="114">
        <v>35.0</v>
      </c>
      <c r="E8" s="114">
        <v>35.0</v>
      </c>
      <c r="F8" s="114">
        <v>35.0</v>
      </c>
      <c r="G8" s="114">
        <v>35.0</v>
      </c>
      <c r="H8" s="114">
        <v>35.0</v>
      </c>
      <c r="I8" s="114">
        <v>35.0</v>
      </c>
      <c r="J8" s="114">
        <v>35.0</v>
      </c>
      <c r="K8" s="114">
        <v>35.0</v>
      </c>
      <c r="L8" s="114">
        <v>35.0</v>
      </c>
      <c r="M8" s="114">
        <v>35.0</v>
      </c>
      <c r="N8" s="114">
        <v>35.0</v>
      </c>
      <c r="O8" s="181">
        <v>35.0</v>
      </c>
      <c r="P8" s="114">
        <v>35.0</v>
      </c>
      <c r="Q8" s="114">
        <v>35.0</v>
      </c>
      <c r="R8" s="114">
        <v>35.0</v>
      </c>
      <c r="S8" s="114">
        <v>35.0</v>
      </c>
      <c r="T8" s="114">
        <v>35.0</v>
      </c>
      <c r="U8" s="114">
        <v>35.0</v>
      </c>
      <c r="V8" s="114">
        <v>35.0</v>
      </c>
      <c r="W8" s="114">
        <v>35.0</v>
      </c>
      <c r="X8" s="114">
        <v>35.0</v>
      </c>
      <c r="Y8" s="114">
        <v>35.0</v>
      </c>
      <c r="Z8" s="114">
        <v>35.0</v>
      </c>
      <c r="AA8" s="114">
        <v>35.0</v>
      </c>
      <c r="AB8" s="181">
        <v>35.0</v>
      </c>
      <c r="AC8" s="117">
        <v>35.0</v>
      </c>
      <c r="AD8" s="117">
        <f t="shared" ref="AD8:AO8" si="9">AC8</f>
        <v>35</v>
      </c>
      <c r="AE8" s="117">
        <f t="shared" si="9"/>
        <v>35</v>
      </c>
      <c r="AF8" s="117">
        <f t="shared" si="9"/>
        <v>35</v>
      </c>
      <c r="AG8" s="117">
        <f t="shared" si="9"/>
        <v>35</v>
      </c>
      <c r="AH8" s="117">
        <f t="shared" si="9"/>
        <v>35</v>
      </c>
      <c r="AI8" s="117">
        <f t="shared" si="9"/>
        <v>35</v>
      </c>
      <c r="AJ8" s="117">
        <f t="shared" si="9"/>
        <v>35</v>
      </c>
      <c r="AK8" s="117">
        <f t="shared" si="9"/>
        <v>35</v>
      </c>
      <c r="AL8" s="117">
        <f t="shared" si="9"/>
        <v>35</v>
      </c>
      <c r="AM8" s="117">
        <f t="shared" si="9"/>
        <v>35</v>
      </c>
      <c r="AN8" s="117">
        <f t="shared" si="9"/>
        <v>35</v>
      </c>
      <c r="AO8" s="182">
        <f t="shared" si="9"/>
        <v>35</v>
      </c>
      <c r="AP8" s="117">
        <v>35.0</v>
      </c>
      <c r="AQ8" s="117">
        <f t="shared" ref="AQ8:BB8" si="10">AP8</f>
        <v>35</v>
      </c>
      <c r="AR8" s="117">
        <f t="shared" si="10"/>
        <v>35</v>
      </c>
      <c r="AS8" s="117">
        <f t="shared" si="10"/>
        <v>35</v>
      </c>
      <c r="AT8" s="117">
        <f t="shared" si="10"/>
        <v>35</v>
      </c>
      <c r="AU8" s="117">
        <f t="shared" si="10"/>
        <v>35</v>
      </c>
      <c r="AV8" s="117">
        <f t="shared" si="10"/>
        <v>35</v>
      </c>
      <c r="AW8" s="117">
        <f t="shared" si="10"/>
        <v>35</v>
      </c>
      <c r="AX8" s="117">
        <f t="shared" si="10"/>
        <v>35</v>
      </c>
      <c r="AY8" s="117">
        <f t="shared" si="10"/>
        <v>35</v>
      </c>
      <c r="AZ8" s="117">
        <f t="shared" si="10"/>
        <v>35</v>
      </c>
      <c r="BA8" s="117">
        <f t="shared" si="10"/>
        <v>35</v>
      </c>
      <c r="BB8" s="182">
        <f t="shared" si="10"/>
        <v>35</v>
      </c>
      <c r="BC8" s="105"/>
      <c r="BD8" s="105"/>
      <c r="BE8" s="46" t="s">
        <v>65</v>
      </c>
      <c r="BF8" s="117">
        <f t="shared" ref="BF8:BK8" si="11">BF17</f>
        <v>11039388.73</v>
      </c>
      <c r="BG8" s="117">
        <f t="shared" si="11"/>
        <v>16648180</v>
      </c>
      <c r="BH8" s="117">
        <f t="shared" si="11"/>
        <v>13395953.83</v>
      </c>
      <c r="BI8" s="117">
        <f t="shared" si="11"/>
        <v>17994824</v>
      </c>
      <c r="BJ8" s="117">
        <f t="shared" si="11"/>
        <v>20283006.98</v>
      </c>
      <c r="BK8" s="117">
        <f t="shared" si="11"/>
        <v>19490960</v>
      </c>
      <c r="BL8" s="117"/>
      <c r="BM8" s="105"/>
      <c r="BN8" s="46" t="s">
        <v>66</v>
      </c>
      <c r="BO8" s="117" t="str">
        <f t="shared" ref="BO8:BT8" si="12">BO17/365/1000</f>
        <v>#REF!</v>
      </c>
      <c r="BP8" s="117" t="str">
        <f t="shared" si="12"/>
        <v>#REF!</v>
      </c>
      <c r="BQ8" s="117" t="str">
        <f t="shared" si="12"/>
        <v>#REF!</v>
      </c>
      <c r="BR8" s="117" t="str">
        <f t="shared" si="12"/>
        <v>#REF!</v>
      </c>
      <c r="BS8" s="117" t="str">
        <f t="shared" si="12"/>
        <v>#REF!</v>
      </c>
      <c r="BT8" s="117" t="str">
        <f t="shared" si="12"/>
        <v>#REF!</v>
      </c>
      <c r="BU8" s="117"/>
      <c r="BV8" s="105"/>
      <c r="BW8" s="105"/>
      <c r="BX8" s="105"/>
      <c r="BY8" s="105"/>
      <c r="BZ8" s="105"/>
      <c r="CA8" s="105"/>
      <c r="CB8" s="105"/>
      <c r="CC8" s="105"/>
      <c r="CD8" s="105"/>
      <c r="CE8" s="105"/>
      <c r="CF8" s="105"/>
      <c r="CG8" s="105">
        <f>SUM(AC29:AJ29)</f>
        <v>12544046.14</v>
      </c>
      <c r="CH8" s="105"/>
      <c r="CI8" s="105"/>
      <c r="CJ8" s="105"/>
      <c r="CK8" s="105"/>
      <c r="CL8" s="105"/>
      <c r="CM8" s="105"/>
      <c r="CN8" s="105"/>
      <c r="CO8" s="105"/>
      <c r="CP8" s="105"/>
      <c r="CQ8" s="105"/>
      <c r="CR8" s="105"/>
      <c r="CS8" s="105"/>
      <c r="CT8" s="105"/>
      <c r="CU8" s="105"/>
      <c r="CV8" s="105"/>
      <c r="CW8" s="105"/>
      <c r="CX8" s="105"/>
      <c r="CY8" s="105"/>
      <c r="CZ8" s="104"/>
      <c r="DA8" s="210" t="str">
        <f>B31</f>
        <v>Milk Compliant % - PLAN</v>
      </c>
      <c r="DB8" s="211">
        <f>DB6/DB5</f>
        <v>0.9673974539</v>
      </c>
      <c r="DC8" s="212">
        <v>0.8</v>
      </c>
      <c r="DD8" s="212">
        <f>DD6/DD5</f>
        <v>0.9640152812</v>
      </c>
      <c r="DE8" s="212">
        <v>0.85</v>
      </c>
      <c r="DF8" s="212">
        <f>DF6/DF5</f>
        <v>0.9111837904</v>
      </c>
      <c r="DG8" s="212">
        <v>0.9</v>
      </c>
      <c r="DH8" s="213"/>
      <c r="DI8" s="105"/>
      <c r="DJ8" s="105"/>
      <c r="DK8" s="104"/>
      <c r="DL8" s="104"/>
    </row>
    <row r="9" ht="12.0" customHeight="1">
      <c r="A9" s="104"/>
      <c r="B9" s="113" t="s">
        <v>161</v>
      </c>
      <c r="C9" s="114">
        <v>76000.0</v>
      </c>
      <c r="D9" s="114">
        <v>76000.0</v>
      </c>
      <c r="E9" s="114">
        <v>76000.0</v>
      </c>
      <c r="F9" s="114">
        <v>76000.0</v>
      </c>
      <c r="G9" s="114">
        <v>76000.0</v>
      </c>
      <c r="H9" s="114">
        <v>76000.0</v>
      </c>
      <c r="I9" s="114">
        <v>76000.0</v>
      </c>
      <c r="J9" s="114">
        <v>76000.0</v>
      </c>
      <c r="K9" s="114">
        <v>76000.0</v>
      </c>
      <c r="L9" s="114">
        <v>76000.0</v>
      </c>
      <c r="M9" s="114">
        <v>76000.0</v>
      </c>
      <c r="N9" s="114">
        <v>76000.0</v>
      </c>
      <c r="O9" s="181">
        <v>76000.0</v>
      </c>
      <c r="P9" s="114">
        <v>76000.0</v>
      </c>
      <c r="Q9" s="114">
        <v>76000.0</v>
      </c>
      <c r="R9" s="114">
        <v>76000.0</v>
      </c>
      <c r="S9" s="114">
        <v>76000.0</v>
      </c>
      <c r="T9" s="114">
        <v>76000.0</v>
      </c>
      <c r="U9" s="114">
        <v>76000.0</v>
      </c>
      <c r="V9" s="114">
        <v>76000.0</v>
      </c>
      <c r="W9" s="114">
        <v>76000.0</v>
      </c>
      <c r="X9" s="114">
        <v>76000.0</v>
      </c>
      <c r="Y9" s="114">
        <v>76000.0</v>
      </c>
      <c r="Z9" s="114">
        <v>76000.0</v>
      </c>
      <c r="AA9" s="114">
        <v>76000.0</v>
      </c>
      <c r="AB9" s="181">
        <v>76000.0</v>
      </c>
      <c r="AC9" s="117">
        <f>AA9</f>
        <v>76000</v>
      </c>
      <c r="AD9" s="117">
        <f t="shared" ref="AD9:AO9" si="13">AC9</f>
        <v>76000</v>
      </c>
      <c r="AE9" s="117">
        <f t="shared" si="13"/>
        <v>76000</v>
      </c>
      <c r="AF9" s="117">
        <f t="shared" si="13"/>
        <v>76000</v>
      </c>
      <c r="AG9" s="117">
        <f t="shared" si="13"/>
        <v>76000</v>
      </c>
      <c r="AH9" s="117">
        <f t="shared" si="13"/>
        <v>76000</v>
      </c>
      <c r="AI9" s="117">
        <f t="shared" si="13"/>
        <v>76000</v>
      </c>
      <c r="AJ9" s="117">
        <f t="shared" si="13"/>
        <v>76000</v>
      </c>
      <c r="AK9" s="117">
        <f t="shared" si="13"/>
        <v>76000</v>
      </c>
      <c r="AL9" s="117">
        <f t="shared" si="13"/>
        <v>76000</v>
      </c>
      <c r="AM9" s="117">
        <f t="shared" si="13"/>
        <v>76000</v>
      </c>
      <c r="AN9" s="117">
        <f t="shared" si="13"/>
        <v>76000</v>
      </c>
      <c r="AO9" s="182">
        <f t="shared" si="13"/>
        <v>76000</v>
      </c>
      <c r="AP9" s="117">
        <f>AN9</f>
        <v>76000</v>
      </c>
      <c r="AQ9" s="117">
        <f t="shared" ref="AQ9:BB9" si="14">AP9</f>
        <v>76000</v>
      </c>
      <c r="AR9" s="117">
        <f t="shared" si="14"/>
        <v>76000</v>
      </c>
      <c r="AS9" s="117">
        <f t="shared" si="14"/>
        <v>76000</v>
      </c>
      <c r="AT9" s="117">
        <f t="shared" si="14"/>
        <v>76000</v>
      </c>
      <c r="AU9" s="117">
        <f t="shared" si="14"/>
        <v>76000</v>
      </c>
      <c r="AV9" s="117">
        <f t="shared" si="14"/>
        <v>76000</v>
      </c>
      <c r="AW9" s="117">
        <f t="shared" si="14"/>
        <v>76000</v>
      </c>
      <c r="AX9" s="117">
        <f t="shared" si="14"/>
        <v>76000</v>
      </c>
      <c r="AY9" s="117">
        <f t="shared" si="14"/>
        <v>76000</v>
      </c>
      <c r="AZ9" s="117">
        <f t="shared" si="14"/>
        <v>76000</v>
      </c>
      <c r="BA9" s="117">
        <f t="shared" si="14"/>
        <v>76000</v>
      </c>
      <c r="BB9" s="182">
        <f t="shared" si="14"/>
        <v>76000</v>
      </c>
      <c r="BC9" s="16">
        <f>SUM(AC9:AE9)</f>
        <v>228000</v>
      </c>
      <c r="BD9" s="16">
        <f>SUM(AF9:AH9)</f>
        <v>228000</v>
      </c>
      <c r="BE9" s="46" t="s">
        <v>68</v>
      </c>
      <c r="BF9" s="117">
        <f>BF11*BF8</f>
        <v>8279541.548</v>
      </c>
      <c r="BG9" s="117">
        <f>AB28</f>
        <v>13286574.6</v>
      </c>
      <c r="BH9" s="117">
        <f>AB29</f>
        <v>12913904.2</v>
      </c>
      <c r="BI9" s="117">
        <f>AO28</f>
        <v>15306005.18</v>
      </c>
      <c r="BJ9" s="117">
        <f>AO29</f>
        <v>18481547.18</v>
      </c>
      <c r="BK9" s="117">
        <f>BB28</f>
        <v>17596248.66</v>
      </c>
      <c r="BL9" s="117"/>
      <c r="BM9" s="105"/>
      <c r="BN9" s="46" t="s">
        <v>69</v>
      </c>
      <c r="BO9" s="117" t="str">
        <f>SUM(#REF!)/365/1000</f>
        <v>#REF!</v>
      </c>
      <c r="BP9" s="117" t="str">
        <f>BP11*BP8</f>
        <v>#REF!</v>
      </c>
      <c r="BQ9" s="117" t="str">
        <f>SUM(#REF!)/365/1000</f>
        <v>#REF!</v>
      </c>
      <c r="BR9" s="117" t="str">
        <f>BR8*BR11</f>
        <v>#REF!</v>
      </c>
      <c r="BS9" s="117" t="str">
        <f>SUM(#REF!)/365/1000</f>
        <v>#REF!</v>
      </c>
      <c r="BT9" s="117" t="str">
        <f>BT8*BT11</f>
        <v>#REF!</v>
      </c>
      <c r="BU9" s="117"/>
      <c r="BV9" s="105"/>
      <c r="BW9" s="105"/>
      <c r="BX9" s="105"/>
      <c r="BY9" s="105"/>
      <c r="BZ9" s="105"/>
      <c r="CA9" s="105"/>
      <c r="CB9" s="105"/>
      <c r="CC9" s="105"/>
      <c r="CD9" s="105"/>
      <c r="CE9" s="105"/>
      <c r="CF9" s="105"/>
      <c r="CG9" s="105">
        <f>CG8+CG7</f>
        <v>25457950.34</v>
      </c>
      <c r="CH9" s="105"/>
      <c r="CI9" s="105"/>
      <c r="CJ9" s="105"/>
      <c r="CK9" s="105"/>
      <c r="CL9" s="105"/>
      <c r="CM9" s="105"/>
      <c r="CN9" s="105"/>
      <c r="CO9" s="105"/>
      <c r="CP9" s="105"/>
      <c r="CQ9" s="105"/>
      <c r="CR9" s="105"/>
      <c r="CS9" s="105"/>
      <c r="CT9" s="105"/>
      <c r="CU9" s="105"/>
      <c r="CV9" s="105"/>
      <c r="CW9" s="105"/>
      <c r="CX9" s="105"/>
      <c r="CY9" s="105"/>
      <c r="CZ9" s="104"/>
      <c r="DA9" s="105"/>
      <c r="DB9" s="105"/>
      <c r="DC9" s="105"/>
      <c r="DD9" s="105"/>
      <c r="DE9" s="105"/>
      <c r="DF9" s="105"/>
      <c r="DG9" s="105"/>
      <c r="DH9" s="105"/>
      <c r="DI9" s="105"/>
      <c r="DJ9" s="105"/>
      <c r="DK9" s="104"/>
      <c r="DL9" s="104"/>
    </row>
    <row r="10" ht="12.0" customHeight="1">
      <c r="A10" s="104"/>
      <c r="B10" s="113" t="s">
        <v>71</v>
      </c>
      <c r="C10" s="114">
        <f t="shared" ref="C10:BB10" si="15">C9/C8</f>
        <v>2171.428571</v>
      </c>
      <c r="D10" s="114">
        <f t="shared" si="15"/>
        <v>2171.428571</v>
      </c>
      <c r="E10" s="114">
        <f t="shared" si="15"/>
        <v>2171.428571</v>
      </c>
      <c r="F10" s="114">
        <f t="shared" si="15"/>
        <v>2171.428571</v>
      </c>
      <c r="G10" s="114">
        <f t="shared" si="15"/>
        <v>2171.428571</v>
      </c>
      <c r="H10" s="114">
        <f t="shared" si="15"/>
        <v>2171.428571</v>
      </c>
      <c r="I10" s="114">
        <f t="shared" si="15"/>
        <v>2171.428571</v>
      </c>
      <c r="J10" s="114">
        <f t="shared" si="15"/>
        <v>2171.428571</v>
      </c>
      <c r="K10" s="114">
        <f t="shared" si="15"/>
        <v>2171.428571</v>
      </c>
      <c r="L10" s="114">
        <f t="shared" si="15"/>
        <v>2171.428571</v>
      </c>
      <c r="M10" s="114">
        <f t="shared" si="15"/>
        <v>2171.428571</v>
      </c>
      <c r="N10" s="114">
        <f t="shared" si="15"/>
        <v>2171.428571</v>
      </c>
      <c r="O10" s="181">
        <f t="shared" si="15"/>
        <v>2171.428571</v>
      </c>
      <c r="P10" s="114">
        <f t="shared" si="15"/>
        <v>2171.428571</v>
      </c>
      <c r="Q10" s="114">
        <f t="shared" si="15"/>
        <v>2171.428571</v>
      </c>
      <c r="R10" s="114">
        <f t="shared" si="15"/>
        <v>2171.428571</v>
      </c>
      <c r="S10" s="114">
        <f t="shared" si="15"/>
        <v>2171.428571</v>
      </c>
      <c r="T10" s="114">
        <f t="shared" si="15"/>
        <v>2171.428571</v>
      </c>
      <c r="U10" s="114">
        <f t="shared" si="15"/>
        <v>2171.428571</v>
      </c>
      <c r="V10" s="114">
        <f t="shared" si="15"/>
        <v>2171.428571</v>
      </c>
      <c r="W10" s="114">
        <f t="shared" si="15"/>
        <v>2171.428571</v>
      </c>
      <c r="X10" s="114">
        <f t="shared" si="15"/>
        <v>2171.428571</v>
      </c>
      <c r="Y10" s="114">
        <f t="shared" si="15"/>
        <v>2171.428571</v>
      </c>
      <c r="Z10" s="114">
        <f t="shared" si="15"/>
        <v>2171.428571</v>
      </c>
      <c r="AA10" s="114">
        <f t="shared" si="15"/>
        <v>2171.428571</v>
      </c>
      <c r="AB10" s="181">
        <f t="shared" si="15"/>
        <v>2171.428571</v>
      </c>
      <c r="AC10" s="114">
        <f t="shared" si="15"/>
        <v>2171.428571</v>
      </c>
      <c r="AD10" s="114">
        <f t="shared" si="15"/>
        <v>2171.428571</v>
      </c>
      <c r="AE10" s="114">
        <f t="shared" si="15"/>
        <v>2171.428571</v>
      </c>
      <c r="AF10" s="114">
        <f t="shared" si="15"/>
        <v>2171.428571</v>
      </c>
      <c r="AG10" s="114">
        <f t="shared" si="15"/>
        <v>2171.428571</v>
      </c>
      <c r="AH10" s="114">
        <f t="shared" si="15"/>
        <v>2171.428571</v>
      </c>
      <c r="AI10" s="114">
        <f t="shared" si="15"/>
        <v>2171.428571</v>
      </c>
      <c r="AJ10" s="114">
        <f t="shared" si="15"/>
        <v>2171.428571</v>
      </c>
      <c r="AK10" s="114">
        <f t="shared" si="15"/>
        <v>2171.428571</v>
      </c>
      <c r="AL10" s="114">
        <f t="shared" si="15"/>
        <v>2171.428571</v>
      </c>
      <c r="AM10" s="114">
        <f t="shared" si="15"/>
        <v>2171.428571</v>
      </c>
      <c r="AN10" s="114">
        <f t="shared" si="15"/>
        <v>2171.428571</v>
      </c>
      <c r="AO10" s="181">
        <f t="shared" si="15"/>
        <v>2171.428571</v>
      </c>
      <c r="AP10" s="114">
        <f t="shared" si="15"/>
        <v>2171.428571</v>
      </c>
      <c r="AQ10" s="114">
        <f t="shared" si="15"/>
        <v>2171.428571</v>
      </c>
      <c r="AR10" s="114">
        <f t="shared" si="15"/>
        <v>2171.428571</v>
      </c>
      <c r="AS10" s="114">
        <f t="shared" si="15"/>
        <v>2171.428571</v>
      </c>
      <c r="AT10" s="114">
        <f t="shared" si="15"/>
        <v>2171.428571</v>
      </c>
      <c r="AU10" s="114">
        <f t="shared" si="15"/>
        <v>2171.428571</v>
      </c>
      <c r="AV10" s="114">
        <f t="shared" si="15"/>
        <v>2171.428571</v>
      </c>
      <c r="AW10" s="114">
        <f t="shared" si="15"/>
        <v>2171.428571</v>
      </c>
      <c r="AX10" s="114">
        <f t="shared" si="15"/>
        <v>2171.428571</v>
      </c>
      <c r="AY10" s="114">
        <f t="shared" si="15"/>
        <v>2171.428571</v>
      </c>
      <c r="AZ10" s="114">
        <f t="shared" si="15"/>
        <v>2171.428571</v>
      </c>
      <c r="BA10" s="114">
        <f t="shared" si="15"/>
        <v>2171.428571</v>
      </c>
      <c r="BB10" s="181">
        <f t="shared" si="15"/>
        <v>2171.428571</v>
      </c>
      <c r="BC10" s="2"/>
      <c r="BD10" s="2"/>
      <c r="BE10" s="46" t="s">
        <v>72</v>
      </c>
      <c r="BF10" s="117">
        <f>BF9/O7</f>
        <v>22683.67547</v>
      </c>
      <c r="BG10" s="117">
        <f>BG9/AB7</f>
        <v>36401.57425</v>
      </c>
      <c r="BH10" s="117">
        <f>BH9/AB7</f>
        <v>35380.55945</v>
      </c>
      <c r="BI10" s="117">
        <f>BI9/AO7</f>
        <v>41819.68628</v>
      </c>
      <c r="BJ10" s="117">
        <f>BJ9/AO7</f>
        <v>50496.03055</v>
      </c>
      <c r="BK10" s="117">
        <f>BK9/BB7</f>
        <v>97216.84343</v>
      </c>
      <c r="BL10" s="117"/>
      <c r="BM10" s="105"/>
      <c r="BN10" s="46" t="s">
        <v>72</v>
      </c>
      <c r="BO10" s="117" t="str">
        <f t="shared" ref="BO10:BT10" si="16">BO9/365*10^6</f>
        <v>#REF!</v>
      </c>
      <c r="BP10" s="117" t="str">
        <f t="shared" si="16"/>
        <v>#REF!</v>
      </c>
      <c r="BQ10" s="117" t="str">
        <f t="shared" si="16"/>
        <v>#REF!</v>
      </c>
      <c r="BR10" s="117" t="str">
        <f t="shared" si="16"/>
        <v>#REF!</v>
      </c>
      <c r="BS10" s="117" t="str">
        <f t="shared" si="16"/>
        <v>#REF!</v>
      </c>
      <c r="BT10" s="117" t="str">
        <f t="shared" si="16"/>
        <v>#REF!</v>
      </c>
      <c r="BU10" s="117"/>
      <c r="BV10" s="105"/>
      <c r="BW10" s="105"/>
      <c r="BX10" s="105"/>
      <c r="BY10" s="105"/>
      <c r="BZ10" s="105"/>
      <c r="CA10" s="105"/>
      <c r="CB10" s="105"/>
      <c r="CC10" s="105"/>
      <c r="CD10" s="105"/>
      <c r="CE10" s="105"/>
      <c r="CF10" s="105"/>
      <c r="CG10" s="105"/>
      <c r="CH10" s="105"/>
      <c r="CI10" s="105"/>
      <c r="CJ10" s="105"/>
      <c r="CK10" s="105"/>
      <c r="CL10" s="105"/>
      <c r="CM10" s="105"/>
      <c r="CN10" s="105"/>
      <c r="CO10" s="105"/>
      <c r="CP10" s="105"/>
      <c r="CQ10" s="105"/>
      <c r="CR10" s="105"/>
      <c r="CS10" s="105"/>
      <c r="CT10" s="105"/>
      <c r="CU10" s="105"/>
      <c r="CV10" s="105"/>
      <c r="CW10" s="105"/>
      <c r="CX10" s="105"/>
      <c r="CY10" s="105"/>
      <c r="CZ10" s="104"/>
      <c r="DA10" s="117"/>
      <c r="DB10" s="193" t="s">
        <v>55</v>
      </c>
      <c r="DC10" s="193" t="s">
        <v>56</v>
      </c>
      <c r="DD10" s="193"/>
      <c r="DE10" s="193" t="s">
        <v>57</v>
      </c>
      <c r="DF10" s="193"/>
      <c r="DG10" s="193" t="s">
        <v>58</v>
      </c>
      <c r="DH10" s="193"/>
      <c r="DI10" s="105"/>
      <c r="DJ10" s="105"/>
      <c r="DK10" s="104"/>
      <c r="DL10" s="104"/>
    </row>
    <row r="11" ht="12.0" customHeight="1">
      <c r="A11" s="104"/>
      <c r="B11" s="160" t="str">
        <f>'SDDPL '!B11</f>
        <v>Milk Received - Plan Vol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>
        <f t="shared" ref="P11:AA11" si="17">P14*P9*P7</f>
        <v>1342920</v>
      </c>
      <c r="Q11" s="49">
        <f t="shared" si="17"/>
        <v>1223600</v>
      </c>
      <c r="R11" s="49">
        <f t="shared" si="17"/>
        <v>1366480</v>
      </c>
      <c r="S11" s="49">
        <f t="shared" si="17"/>
        <v>1333800</v>
      </c>
      <c r="T11" s="49">
        <f t="shared" si="17"/>
        <v>1390040</v>
      </c>
      <c r="U11" s="49">
        <f t="shared" si="17"/>
        <v>1356600</v>
      </c>
      <c r="V11" s="49">
        <f t="shared" si="17"/>
        <v>1413600</v>
      </c>
      <c r="W11" s="49">
        <f t="shared" si="17"/>
        <v>1425380</v>
      </c>
      <c r="X11" s="49">
        <f t="shared" si="17"/>
        <v>1390800</v>
      </c>
      <c r="Y11" s="49">
        <f t="shared" si="17"/>
        <v>1460720</v>
      </c>
      <c r="Z11" s="49">
        <f t="shared" si="17"/>
        <v>1436400</v>
      </c>
      <c r="AA11" s="49">
        <f t="shared" si="17"/>
        <v>1507840</v>
      </c>
      <c r="AB11" s="49">
        <f t="shared" ref="AB11:AB12" si="21">SUM(P11:AA11)</f>
        <v>16648180</v>
      </c>
      <c r="AC11" s="49">
        <f t="shared" ref="AC11:AN11" si="18">AC14*AC9*AC7</f>
        <v>1543180</v>
      </c>
      <c r="AD11" s="49">
        <f t="shared" si="18"/>
        <v>1421580</v>
      </c>
      <c r="AE11" s="49">
        <f t="shared" si="18"/>
        <v>1496060</v>
      </c>
      <c r="AF11" s="49">
        <f t="shared" si="18"/>
        <v>1470600</v>
      </c>
      <c r="AG11" s="49">
        <f t="shared" si="18"/>
        <v>1496060</v>
      </c>
      <c r="AH11" s="49">
        <f t="shared" si="18"/>
        <v>1425000</v>
      </c>
      <c r="AI11" s="49">
        <f t="shared" si="18"/>
        <v>1448940</v>
      </c>
      <c r="AJ11" s="49">
        <f t="shared" si="18"/>
        <v>1484280</v>
      </c>
      <c r="AK11" s="49">
        <f t="shared" si="18"/>
        <v>1459200</v>
      </c>
      <c r="AL11" s="49">
        <f t="shared" si="18"/>
        <v>1554960</v>
      </c>
      <c r="AM11" s="49">
        <f t="shared" si="18"/>
        <v>1548120</v>
      </c>
      <c r="AN11" s="49">
        <f t="shared" si="18"/>
        <v>1646844</v>
      </c>
      <c r="AO11" s="49">
        <f t="shared" ref="AO11:AO12" si="22">SUM(AC11:AN11)</f>
        <v>17994824</v>
      </c>
      <c r="AP11" s="49">
        <f t="shared" ref="AP11:BA11" si="19">AP14*AP9*AP7</f>
        <v>1590300</v>
      </c>
      <c r="AQ11" s="49">
        <f t="shared" si="19"/>
        <v>1447040</v>
      </c>
      <c r="AR11" s="49">
        <f t="shared" si="19"/>
        <v>1613860</v>
      </c>
      <c r="AS11" s="49">
        <f t="shared" si="19"/>
        <v>1573200</v>
      </c>
      <c r="AT11" s="49">
        <f t="shared" si="19"/>
        <v>1637420</v>
      </c>
      <c r="AU11" s="49">
        <f t="shared" si="19"/>
        <v>1596000</v>
      </c>
      <c r="AV11" s="49">
        <f t="shared" si="19"/>
        <v>1660980</v>
      </c>
      <c r="AW11" s="49">
        <f t="shared" si="19"/>
        <v>1672760</v>
      </c>
      <c r="AX11" s="49">
        <f t="shared" si="19"/>
        <v>1630200</v>
      </c>
      <c r="AY11" s="49">
        <f t="shared" si="19"/>
        <v>1696320</v>
      </c>
      <c r="AZ11" s="49">
        <f t="shared" si="19"/>
        <v>1653000</v>
      </c>
      <c r="BA11" s="49">
        <f t="shared" si="19"/>
        <v>1719880</v>
      </c>
      <c r="BB11" s="161">
        <f t="shared" ref="BB11:BB12" si="23">SUM(AP11:BA11)</f>
        <v>19490960</v>
      </c>
      <c r="BC11" s="2"/>
      <c r="BD11" s="2"/>
      <c r="BE11" s="51" t="s">
        <v>76</v>
      </c>
      <c r="BF11" s="211">
        <v>0.75</v>
      </c>
      <c r="BG11" s="212">
        <f t="shared" ref="BG11:BK11" si="20">BG9/BG8</f>
        <v>0.798079706</v>
      </c>
      <c r="BH11" s="212">
        <f t="shared" si="20"/>
        <v>0.9640152812</v>
      </c>
      <c r="BI11" s="212">
        <f t="shared" si="20"/>
        <v>0.8505782096</v>
      </c>
      <c r="BJ11" s="212">
        <f t="shared" si="20"/>
        <v>0.9111837904</v>
      </c>
      <c r="BK11" s="212">
        <f t="shared" si="20"/>
        <v>0.9027902505</v>
      </c>
      <c r="BL11" s="213"/>
      <c r="BM11" s="105"/>
      <c r="BN11" s="210" t="str">
        <f>#REF!</f>
        <v>#REF!</v>
      </c>
      <c r="BO11" s="211" t="str">
        <f>BO9/BO8</f>
        <v>#REF!</v>
      </c>
      <c r="BP11" s="212">
        <v>0.8</v>
      </c>
      <c r="BQ11" s="212" t="str">
        <f>BQ9/BQ8</f>
        <v>#REF!</v>
      </c>
      <c r="BR11" s="212">
        <v>0.85</v>
      </c>
      <c r="BS11" s="212" t="str">
        <f>BS9/BS8</f>
        <v>#REF!</v>
      </c>
      <c r="BT11" s="212">
        <v>0.9</v>
      </c>
      <c r="BU11" s="213"/>
      <c r="BV11" s="105"/>
      <c r="BW11" s="105"/>
      <c r="BX11" s="105"/>
      <c r="BY11" s="105"/>
      <c r="BZ11" s="105"/>
      <c r="CA11" s="105"/>
      <c r="CB11" s="105"/>
      <c r="CC11" s="105"/>
      <c r="CD11" s="105"/>
      <c r="CE11" s="105"/>
      <c r="CF11" s="105"/>
      <c r="CG11" s="105"/>
      <c r="CH11" s="105"/>
      <c r="CI11" s="105"/>
      <c r="CJ11" s="105"/>
      <c r="CK11" s="105"/>
      <c r="CL11" s="105"/>
      <c r="CM11" s="105"/>
      <c r="CN11" s="105"/>
      <c r="CO11" s="105"/>
      <c r="CP11" s="105"/>
      <c r="CQ11" s="105"/>
      <c r="CR11" s="105"/>
      <c r="CS11" s="105"/>
      <c r="CT11" s="105"/>
      <c r="CU11" s="105"/>
      <c r="CV11" s="105"/>
      <c r="CW11" s="105"/>
      <c r="CX11" s="105"/>
      <c r="CY11" s="105"/>
      <c r="CZ11" s="104"/>
      <c r="DA11" s="117"/>
      <c r="DB11" s="193"/>
      <c r="DC11" s="193"/>
      <c r="DD11" s="193"/>
      <c r="DE11" s="193"/>
      <c r="DF11" s="193"/>
      <c r="DG11" s="193"/>
      <c r="DH11" s="193"/>
      <c r="DI11" s="105"/>
      <c r="DJ11" s="105"/>
      <c r="DK11" s="104"/>
      <c r="DL11" s="104"/>
    </row>
    <row r="12" ht="12.0" customHeight="1">
      <c r="A12" s="104"/>
      <c r="B12" s="162" t="str">
        <f>'SDDPL '!B12</f>
        <v>Milk Received - Actual Vol</v>
      </c>
      <c r="C12" s="110">
        <v>781575.6699999993</v>
      </c>
      <c r="D12" s="110">
        <v>678488.4199999992</v>
      </c>
      <c r="E12" s="110">
        <v>799005.8499999961</v>
      </c>
      <c r="F12" s="110">
        <v>928214.7000000008</v>
      </c>
      <c r="G12" s="110">
        <v>1062182.6099999975</v>
      </c>
      <c r="H12" s="110">
        <v>1104921.2699999982</v>
      </c>
      <c r="I12" s="110">
        <v>1065981.290000001</v>
      </c>
      <c r="J12" s="110">
        <v>990562.8800000038</v>
      </c>
      <c r="K12" s="110">
        <v>932318.5200000011</v>
      </c>
      <c r="L12" s="110">
        <v>944946.7099999988</v>
      </c>
      <c r="M12" s="110">
        <v>890858.4400000017</v>
      </c>
      <c r="N12" s="110">
        <v>860332.3699999993</v>
      </c>
      <c r="O12" s="110">
        <f>SUM(C12:N12)</f>
        <v>11039388.73</v>
      </c>
      <c r="P12" s="110">
        <v>855054.4099999974</v>
      </c>
      <c r="Q12" s="110">
        <v>777609.4700000015</v>
      </c>
      <c r="R12" s="110">
        <v>872470.4000000006</v>
      </c>
      <c r="S12" s="110">
        <v>942140.0300000024</v>
      </c>
      <c r="T12" s="110">
        <v>1017080.9199999998</v>
      </c>
      <c r="U12" s="110">
        <v>1055920.9600000002</v>
      </c>
      <c r="V12" s="110">
        <v>1183608.6199999982</v>
      </c>
      <c r="W12" s="110">
        <v>1271031.4000000015</v>
      </c>
      <c r="X12" s="110">
        <v>1192677.350000002</v>
      </c>
      <c r="Y12" s="110">
        <v>1328430.3900000048</v>
      </c>
      <c r="Z12" s="110">
        <v>1377842.740000002</v>
      </c>
      <c r="AA12" s="110">
        <v>1522087.1400000015</v>
      </c>
      <c r="AB12" s="110">
        <f t="shared" si="21"/>
        <v>13395953.83</v>
      </c>
      <c r="AC12" s="110">
        <v>1753974.0</v>
      </c>
      <c r="AD12" s="111">
        <v>1299788.9200000002</v>
      </c>
      <c r="AE12" s="111">
        <v>1442699.9599999976</v>
      </c>
      <c r="AF12" s="111">
        <v>1507244.4100000085</v>
      </c>
      <c r="AG12" s="111">
        <v>1704075.2800000007</v>
      </c>
      <c r="AH12" s="111">
        <v>1987428.7200000035</v>
      </c>
      <c r="AI12" s="111">
        <v>1958293.4600000002</v>
      </c>
      <c r="AJ12" s="111">
        <v>1777525.1899999997</v>
      </c>
      <c r="AK12" s="111">
        <v>1708048.9000000001</v>
      </c>
      <c r="AL12" s="111">
        <v>1743472.81</v>
      </c>
      <c r="AM12" s="111">
        <v>1740241.4799999997</v>
      </c>
      <c r="AN12" s="111">
        <v>1660213.8499999999</v>
      </c>
      <c r="AO12" s="111">
        <f t="shared" si="22"/>
        <v>20283006.98</v>
      </c>
      <c r="AP12" s="111">
        <v>1629472.7700000003</v>
      </c>
      <c r="AQ12" s="111">
        <v>1488904.7000000002</v>
      </c>
      <c r="AR12" s="111">
        <v>1566696.86</v>
      </c>
      <c r="AS12" s="111">
        <v>1607400.3800000001</v>
      </c>
      <c r="AT12" s="111">
        <v>1629472.7700000003</v>
      </c>
      <c r="AU12" s="111">
        <v>2042581.8299999996</v>
      </c>
      <c r="AV12" s="214"/>
      <c r="AW12" s="111"/>
      <c r="AX12" s="111"/>
      <c r="AY12" s="111"/>
      <c r="AZ12" s="111"/>
      <c r="BA12" s="111"/>
      <c r="BB12" s="111">
        <f t="shared" si="23"/>
        <v>9964529.31</v>
      </c>
      <c r="BC12" s="16">
        <f t="shared" ref="BC12:BC13" si="25">SUM(AC12:AE12)</f>
        <v>4496462.88</v>
      </c>
      <c r="BD12" s="16">
        <f t="shared" ref="BD12:BD13" si="26">SUM(AF12:AH12)</f>
        <v>5198748.41</v>
      </c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5"/>
      <c r="CY12" s="105"/>
      <c r="CZ12" s="104"/>
      <c r="DA12" s="199" t="s">
        <v>83</v>
      </c>
      <c r="DB12" s="200" t="s">
        <v>84</v>
      </c>
      <c r="DC12" s="201" t="s">
        <v>62</v>
      </c>
      <c r="DD12" s="202" t="s">
        <v>63</v>
      </c>
      <c r="DE12" s="203" t="s">
        <v>62</v>
      </c>
      <c r="DF12" s="200" t="s">
        <v>63</v>
      </c>
      <c r="DG12" s="203" t="s">
        <v>62</v>
      </c>
      <c r="DH12" s="200" t="s">
        <v>63</v>
      </c>
      <c r="DI12" s="105"/>
      <c r="DJ12" s="105"/>
      <c r="DK12" s="104"/>
      <c r="DL12" s="104"/>
    </row>
    <row r="13" ht="12.0" customHeight="1">
      <c r="A13" s="104"/>
      <c r="B13" s="113" t="s">
        <v>79</v>
      </c>
      <c r="C13" s="114">
        <f t="shared" ref="C13:BB13" si="24">C12/C7</f>
        <v>25212.11839</v>
      </c>
      <c r="D13" s="114">
        <f t="shared" si="24"/>
        <v>24231.72929</v>
      </c>
      <c r="E13" s="114">
        <f t="shared" si="24"/>
        <v>25774.38226</v>
      </c>
      <c r="F13" s="114">
        <f t="shared" si="24"/>
        <v>30940.49</v>
      </c>
      <c r="G13" s="114">
        <f t="shared" si="24"/>
        <v>34263.95516</v>
      </c>
      <c r="H13" s="114">
        <f t="shared" si="24"/>
        <v>36830.709</v>
      </c>
      <c r="I13" s="114">
        <f t="shared" si="24"/>
        <v>34386.49323</v>
      </c>
      <c r="J13" s="114">
        <f t="shared" si="24"/>
        <v>31953.64129</v>
      </c>
      <c r="K13" s="114">
        <f t="shared" si="24"/>
        <v>31077.284</v>
      </c>
      <c r="L13" s="114">
        <f t="shared" si="24"/>
        <v>30482.15194</v>
      </c>
      <c r="M13" s="114">
        <f t="shared" si="24"/>
        <v>29695.28133</v>
      </c>
      <c r="N13" s="114">
        <f t="shared" si="24"/>
        <v>27752.6571</v>
      </c>
      <c r="O13" s="181">
        <f t="shared" si="24"/>
        <v>30244.90063</v>
      </c>
      <c r="P13" s="114">
        <f t="shared" si="24"/>
        <v>27582.40032</v>
      </c>
      <c r="Q13" s="114">
        <f t="shared" si="24"/>
        <v>27771.76679</v>
      </c>
      <c r="R13" s="114">
        <f t="shared" si="24"/>
        <v>28144.20645</v>
      </c>
      <c r="S13" s="114">
        <f t="shared" si="24"/>
        <v>31404.66767</v>
      </c>
      <c r="T13" s="114">
        <f t="shared" si="24"/>
        <v>32809.06194</v>
      </c>
      <c r="U13" s="114">
        <f t="shared" si="24"/>
        <v>35197.36533</v>
      </c>
      <c r="V13" s="114">
        <f t="shared" si="24"/>
        <v>38180.92323</v>
      </c>
      <c r="W13" s="114">
        <f t="shared" si="24"/>
        <v>41001.0129</v>
      </c>
      <c r="X13" s="114">
        <f t="shared" si="24"/>
        <v>39755.91167</v>
      </c>
      <c r="Y13" s="114">
        <f t="shared" si="24"/>
        <v>42852.59323</v>
      </c>
      <c r="Z13" s="114">
        <f t="shared" si="24"/>
        <v>45928.09133</v>
      </c>
      <c r="AA13" s="114">
        <f t="shared" si="24"/>
        <v>49099.58516</v>
      </c>
      <c r="AB13" s="181">
        <f t="shared" si="24"/>
        <v>36701.24337</v>
      </c>
      <c r="AC13" s="117">
        <f t="shared" si="24"/>
        <v>56579.80645</v>
      </c>
      <c r="AD13" s="117">
        <f t="shared" si="24"/>
        <v>44820.30759</v>
      </c>
      <c r="AE13" s="117">
        <f t="shared" si="24"/>
        <v>46538.70839</v>
      </c>
      <c r="AF13" s="117">
        <f t="shared" si="24"/>
        <v>50241.48033</v>
      </c>
      <c r="AG13" s="117">
        <f t="shared" si="24"/>
        <v>54970.17032</v>
      </c>
      <c r="AH13" s="117">
        <f t="shared" si="24"/>
        <v>66247.624</v>
      </c>
      <c r="AI13" s="117">
        <f t="shared" si="24"/>
        <v>63170.75677</v>
      </c>
      <c r="AJ13" s="117">
        <f t="shared" si="24"/>
        <v>57339.52226</v>
      </c>
      <c r="AK13" s="117">
        <f t="shared" si="24"/>
        <v>56934.96333</v>
      </c>
      <c r="AL13" s="117">
        <f t="shared" si="24"/>
        <v>56241.05839</v>
      </c>
      <c r="AM13" s="117">
        <f t="shared" si="24"/>
        <v>58008.04933</v>
      </c>
      <c r="AN13" s="117">
        <f t="shared" si="24"/>
        <v>53555.28548</v>
      </c>
      <c r="AO13" s="182">
        <f t="shared" si="24"/>
        <v>55418.05186</v>
      </c>
      <c r="AP13" s="117">
        <f t="shared" si="24"/>
        <v>52563.63774</v>
      </c>
      <c r="AQ13" s="117">
        <f t="shared" si="24"/>
        <v>53175.16786</v>
      </c>
      <c r="AR13" s="117">
        <f t="shared" si="24"/>
        <v>50538.60839</v>
      </c>
      <c r="AS13" s="117">
        <f t="shared" si="24"/>
        <v>53580.01267</v>
      </c>
      <c r="AT13" s="117">
        <f t="shared" si="24"/>
        <v>52563.63774</v>
      </c>
      <c r="AU13" s="117">
        <f t="shared" si="24"/>
        <v>68086.061</v>
      </c>
      <c r="AV13" s="117">
        <f t="shared" si="24"/>
        <v>0</v>
      </c>
      <c r="AW13" s="117">
        <f t="shared" si="24"/>
        <v>0</v>
      </c>
      <c r="AX13" s="117">
        <f t="shared" si="24"/>
        <v>0</v>
      </c>
      <c r="AY13" s="117">
        <f t="shared" si="24"/>
        <v>0</v>
      </c>
      <c r="AZ13" s="117">
        <f t="shared" si="24"/>
        <v>0</v>
      </c>
      <c r="BA13" s="117">
        <f t="shared" si="24"/>
        <v>0</v>
      </c>
      <c r="BB13" s="182">
        <f t="shared" si="24"/>
        <v>55052.64812</v>
      </c>
      <c r="BC13" s="16">
        <f t="shared" si="25"/>
        <v>147938.8224</v>
      </c>
      <c r="BD13" s="16">
        <f t="shared" si="26"/>
        <v>171459.2747</v>
      </c>
      <c r="BE13" s="117"/>
      <c r="BF13" s="193" t="s">
        <v>55</v>
      </c>
      <c r="BG13" s="193" t="s">
        <v>56</v>
      </c>
      <c r="BH13" s="193"/>
      <c r="BI13" s="193" t="s">
        <v>57</v>
      </c>
      <c r="BJ13" s="193"/>
      <c r="BK13" s="193" t="s">
        <v>58</v>
      </c>
      <c r="BL13" s="193"/>
      <c r="BM13" s="105"/>
      <c r="BN13" s="117"/>
      <c r="BO13" s="193" t="s">
        <v>55</v>
      </c>
      <c r="BP13" s="193" t="s">
        <v>56</v>
      </c>
      <c r="BQ13" s="193"/>
      <c r="BR13" s="193" t="s">
        <v>57</v>
      </c>
      <c r="BS13" s="193"/>
      <c r="BT13" s="193" t="s">
        <v>58</v>
      </c>
      <c r="BU13" s="193"/>
      <c r="BV13" s="105"/>
      <c r="BW13" s="105"/>
      <c r="BX13" s="105"/>
      <c r="BY13" s="105"/>
      <c r="BZ13" s="105"/>
      <c r="CA13" s="105"/>
      <c r="CB13" s="105"/>
      <c r="CC13" s="105"/>
      <c r="CD13" s="105"/>
      <c r="CE13" s="105"/>
      <c r="CF13" s="105"/>
      <c r="CG13" s="105"/>
      <c r="CH13" s="105"/>
      <c r="CI13" s="105"/>
      <c r="CJ13" s="105"/>
      <c r="CK13" s="105"/>
      <c r="CL13" s="105"/>
      <c r="CM13" s="105"/>
      <c r="CN13" s="105"/>
      <c r="CO13" s="105"/>
      <c r="CP13" s="105"/>
      <c r="CQ13" s="105"/>
      <c r="CR13" s="105"/>
      <c r="CS13" s="105"/>
      <c r="CT13" s="105"/>
      <c r="CU13" s="105"/>
      <c r="CV13" s="105"/>
      <c r="CW13" s="105"/>
      <c r="CX13" s="105"/>
      <c r="CY13" s="105"/>
      <c r="CZ13" s="104"/>
      <c r="DA13" s="46" t="s">
        <v>86</v>
      </c>
      <c r="DB13" s="117">
        <f>N9</f>
        <v>76000</v>
      </c>
      <c r="DC13" s="117">
        <f>AA9</f>
        <v>76000</v>
      </c>
      <c r="DD13" s="117">
        <f t="shared" ref="DD13:DE13" si="27">DC13</f>
        <v>76000</v>
      </c>
      <c r="DE13" s="117">
        <f t="shared" si="27"/>
        <v>76000</v>
      </c>
      <c r="DF13" s="117">
        <f>AN9</f>
        <v>76000</v>
      </c>
      <c r="DG13" s="117">
        <f>DE13</f>
        <v>76000</v>
      </c>
      <c r="DH13" s="117"/>
      <c r="DI13" s="105"/>
      <c r="DJ13" s="105"/>
      <c r="DK13" s="104"/>
      <c r="DL13" s="104"/>
    </row>
    <row r="14" ht="12.0" customHeight="1">
      <c r="A14" s="104"/>
      <c r="B14" s="163" t="str">
        <f>'SDDPL '!B14</f>
        <v>Milk Utilization % - PLAN</v>
      </c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4">
        <v>0.57</v>
      </c>
      <c r="Q14" s="164">
        <f t="shared" ref="Q14:X14" si="28">P14+0.5%</f>
        <v>0.575</v>
      </c>
      <c r="R14" s="164">
        <f t="shared" si="28"/>
        <v>0.58</v>
      </c>
      <c r="S14" s="164">
        <f t="shared" si="28"/>
        <v>0.585</v>
      </c>
      <c r="T14" s="164">
        <f t="shared" si="28"/>
        <v>0.59</v>
      </c>
      <c r="U14" s="164">
        <f t="shared" si="28"/>
        <v>0.595</v>
      </c>
      <c r="V14" s="164">
        <f t="shared" si="28"/>
        <v>0.6</v>
      </c>
      <c r="W14" s="164">
        <f t="shared" si="28"/>
        <v>0.605</v>
      </c>
      <c r="X14" s="164">
        <f t="shared" si="28"/>
        <v>0.61</v>
      </c>
      <c r="Y14" s="164">
        <f t="shared" ref="Y14:AA14" si="29">X14+1%</f>
        <v>0.62</v>
      </c>
      <c r="Z14" s="164">
        <f t="shared" si="29"/>
        <v>0.63</v>
      </c>
      <c r="AA14" s="164">
        <f t="shared" si="29"/>
        <v>0.64</v>
      </c>
      <c r="AB14" s="88">
        <f>AVERAGE(P14:AA14)</f>
        <v>0.6</v>
      </c>
      <c r="AC14" s="164">
        <f>AA14+1.5%</f>
        <v>0.655</v>
      </c>
      <c r="AD14" s="164">
        <f t="shared" ref="AD14:AE14" si="30">AC14-1%</f>
        <v>0.645</v>
      </c>
      <c r="AE14" s="164">
        <f t="shared" si="30"/>
        <v>0.635</v>
      </c>
      <c r="AF14" s="164">
        <f>AE14+1%</f>
        <v>0.645</v>
      </c>
      <c r="AG14" s="164">
        <f t="shared" ref="AG14:AI14" si="31">AF14-1%</f>
        <v>0.635</v>
      </c>
      <c r="AH14" s="164">
        <f t="shared" si="31"/>
        <v>0.625</v>
      </c>
      <c r="AI14" s="164">
        <f t="shared" si="31"/>
        <v>0.615</v>
      </c>
      <c r="AJ14" s="164">
        <f>AI14+1.5%</f>
        <v>0.63</v>
      </c>
      <c r="AK14" s="164">
        <f>AJ14+1%</f>
        <v>0.64</v>
      </c>
      <c r="AL14" s="164">
        <f>AK14+2%</f>
        <v>0.66</v>
      </c>
      <c r="AM14" s="164">
        <f>AL14+1.9%</f>
        <v>0.679</v>
      </c>
      <c r="AN14" s="164">
        <f>AM14+2%</f>
        <v>0.699</v>
      </c>
      <c r="AO14" s="88">
        <v>0.65</v>
      </c>
      <c r="AP14" s="164">
        <f>AO14+2.5%</f>
        <v>0.675</v>
      </c>
      <c r="AQ14" s="164">
        <f t="shared" ref="AQ14:BA14" si="32">AP14+0.5%</f>
        <v>0.68</v>
      </c>
      <c r="AR14" s="164">
        <f t="shared" si="32"/>
        <v>0.685</v>
      </c>
      <c r="AS14" s="164">
        <f t="shared" si="32"/>
        <v>0.69</v>
      </c>
      <c r="AT14" s="164">
        <f t="shared" si="32"/>
        <v>0.695</v>
      </c>
      <c r="AU14" s="164">
        <f t="shared" si="32"/>
        <v>0.7</v>
      </c>
      <c r="AV14" s="164">
        <f t="shared" si="32"/>
        <v>0.705</v>
      </c>
      <c r="AW14" s="164">
        <f t="shared" si="32"/>
        <v>0.71</v>
      </c>
      <c r="AX14" s="164">
        <f t="shared" si="32"/>
        <v>0.715</v>
      </c>
      <c r="AY14" s="164">
        <f t="shared" si="32"/>
        <v>0.72</v>
      </c>
      <c r="AZ14" s="164">
        <f t="shared" si="32"/>
        <v>0.725</v>
      </c>
      <c r="BA14" s="164">
        <f t="shared" si="32"/>
        <v>0.73</v>
      </c>
      <c r="BB14" s="164">
        <f>AVERAGE(AP14:BA14)</f>
        <v>0.7025</v>
      </c>
      <c r="BC14" s="66">
        <f>AVERAGE(AC14:AE14)</f>
        <v>0.645</v>
      </c>
      <c r="BD14" s="66">
        <f>AVERAGE(AF14:AH14)</f>
        <v>0.635</v>
      </c>
      <c r="BE14" s="117"/>
      <c r="BF14" s="193"/>
      <c r="BG14" s="193"/>
      <c r="BH14" s="193"/>
      <c r="BI14" s="193"/>
      <c r="BJ14" s="193"/>
      <c r="BK14" s="193"/>
      <c r="BL14" s="193"/>
      <c r="BM14" s="105"/>
      <c r="BN14" s="117"/>
      <c r="BO14" s="193"/>
      <c r="BP14" s="193"/>
      <c r="BQ14" s="193"/>
      <c r="BR14" s="193"/>
      <c r="BS14" s="193"/>
      <c r="BT14" s="193"/>
      <c r="BU14" s="193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4"/>
      <c r="DA14" s="46" t="s">
        <v>66</v>
      </c>
      <c r="DB14" s="117">
        <f>SUM(C12:N12)</f>
        <v>11039388.73</v>
      </c>
      <c r="DC14" s="117">
        <f>SUM(P11:AA11)</f>
        <v>16648180</v>
      </c>
      <c r="DD14" s="117">
        <f>SUM(P12:AA12)</f>
        <v>13395953.83</v>
      </c>
      <c r="DE14" s="117">
        <f>SUM(AC11:AN11)</f>
        <v>17994824</v>
      </c>
      <c r="DF14" s="117">
        <f>SUM(AC12:AN12)</f>
        <v>20283006.98</v>
      </c>
      <c r="DG14" s="117">
        <f>DG13*DG16*365</f>
        <v>19418000</v>
      </c>
      <c r="DH14" s="117"/>
      <c r="DI14" s="105"/>
      <c r="DJ14" s="105"/>
      <c r="DK14" s="104"/>
      <c r="DL14" s="104"/>
    </row>
    <row r="15" ht="12.0" customHeight="1">
      <c r="A15" s="104"/>
      <c r="B15" s="162" t="str">
        <f>'SDDPL '!B15</f>
        <v>Milk Utilization % - ACTUAL</v>
      </c>
      <c r="C15" s="53">
        <f t="shared" ref="C15:BD15" si="33">C13/C9</f>
        <v>0.3317383998</v>
      </c>
      <c r="D15" s="53">
        <f t="shared" si="33"/>
        <v>0.3188385432</v>
      </c>
      <c r="E15" s="53">
        <f t="shared" si="33"/>
        <v>0.3391366087</v>
      </c>
      <c r="F15" s="53">
        <f t="shared" si="33"/>
        <v>0.4071117105</v>
      </c>
      <c r="G15" s="53">
        <f t="shared" si="33"/>
        <v>0.4508415153</v>
      </c>
      <c r="H15" s="53">
        <f t="shared" si="33"/>
        <v>0.4846145921</v>
      </c>
      <c r="I15" s="53">
        <f t="shared" si="33"/>
        <v>0.4524538582</v>
      </c>
      <c r="J15" s="53">
        <f t="shared" si="33"/>
        <v>0.4204426486</v>
      </c>
      <c r="K15" s="53">
        <f t="shared" si="33"/>
        <v>0.4089116316</v>
      </c>
      <c r="L15" s="53">
        <f t="shared" si="33"/>
        <v>0.4010809465</v>
      </c>
      <c r="M15" s="53">
        <f t="shared" si="33"/>
        <v>0.390727386</v>
      </c>
      <c r="N15" s="53">
        <f t="shared" si="33"/>
        <v>0.3651665407</v>
      </c>
      <c r="O15" s="53">
        <f t="shared" si="33"/>
        <v>0.3979592188</v>
      </c>
      <c r="P15" s="53">
        <f t="shared" si="33"/>
        <v>0.36292632</v>
      </c>
      <c r="Q15" s="53">
        <f t="shared" si="33"/>
        <v>0.365417984</v>
      </c>
      <c r="R15" s="53">
        <f t="shared" si="33"/>
        <v>0.3703185059</v>
      </c>
      <c r="S15" s="53">
        <f t="shared" si="33"/>
        <v>0.4132193114</v>
      </c>
      <c r="T15" s="53">
        <f t="shared" si="33"/>
        <v>0.4316981834</v>
      </c>
      <c r="U15" s="53">
        <f t="shared" si="33"/>
        <v>0.4631232281</v>
      </c>
      <c r="V15" s="53">
        <f t="shared" si="33"/>
        <v>0.5023805688</v>
      </c>
      <c r="W15" s="53">
        <f t="shared" si="33"/>
        <v>0.5394870119</v>
      </c>
      <c r="X15" s="53">
        <f t="shared" si="33"/>
        <v>0.5231041009</v>
      </c>
      <c r="Y15" s="53">
        <f t="shared" si="33"/>
        <v>0.5638499109</v>
      </c>
      <c r="Z15" s="53">
        <f t="shared" si="33"/>
        <v>0.6043169912</v>
      </c>
      <c r="AA15" s="53">
        <f t="shared" si="33"/>
        <v>0.6460471732</v>
      </c>
      <c r="AB15" s="53">
        <f t="shared" si="33"/>
        <v>0.482911097</v>
      </c>
      <c r="AC15" s="53">
        <f t="shared" si="33"/>
        <v>0.7444711375</v>
      </c>
      <c r="AD15" s="53">
        <f t="shared" si="33"/>
        <v>0.5897408893</v>
      </c>
      <c r="AE15" s="53">
        <f t="shared" si="33"/>
        <v>0.6123514261</v>
      </c>
      <c r="AF15" s="53">
        <f t="shared" si="33"/>
        <v>0.6610721096</v>
      </c>
      <c r="AG15" s="53">
        <f t="shared" si="33"/>
        <v>0.7232917148</v>
      </c>
      <c r="AH15" s="53">
        <f t="shared" si="33"/>
        <v>0.8716792632</v>
      </c>
      <c r="AI15" s="53">
        <f t="shared" si="33"/>
        <v>0.8311941681</v>
      </c>
      <c r="AJ15" s="53">
        <f t="shared" si="33"/>
        <v>0.7544673981</v>
      </c>
      <c r="AK15" s="53">
        <f t="shared" si="33"/>
        <v>0.7491442544</v>
      </c>
      <c r="AL15" s="53">
        <f t="shared" si="33"/>
        <v>0.7400139261</v>
      </c>
      <c r="AM15" s="53">
        <f t="shared" si="33"/>
        <v>0.763263807</v>
      </c>
      <c r="AN15" s="53">
        <f t="shared" si="33"/>
        <v>0.704674809</v>
      </c>
      <c r="AO15" s="53">
        <f t="shared" si="33"/>
        <v>0.7291848929</v>
      </c>
      <c r="AP15" s="53">
        <f t="shared" si="33"/>
        <v>0.6916268124</v>
      </c>
      <c r="AQ15" s="53">
        <f t="shared" si="33"/>
        <v>0.6996732613</v>
      </c>
      <c r="AR15" s="53">
        <f t="shared" si="33"/>
        <v>0.6649816893</v>
      </c>
      <c r="AS15" s="53">
        <f t="shared" si="33"/>
        <v>0.7050001667</v>
      </c>
      <c r="AT15" s="53">
        <f t="shared" si="33"/>
        <v>0.6916268124</v>
      </c>
      <c r="AU15" s="53">
        <f t="shared" si="33"/>
        <v>0.8958692237</v>
      </c>
      <c r="AV15" s="53">
        <f t="shared" si="33"/>
        <v>0</v>
      </c>
      <c r="AW15" s="53">
        <f t="shared" si="33"/>
        <v>0</v>
      </c>
      <c r="AX15" s="53">
        <f t="shared" si="33"/>
        <v>0</v>
      </c>
      <c r="AY15" s="53">
        <f t="shared" si="33"/>
        <v>0</v>
      </c>
      <c r="AZ15" s="53">
        <f t="shared" si="33"/>
        <v>0</v>
      </c>
      <c r="BA15" s="53">
        <f t="shared" si="33"/>
        <v>0</v>
      </c>
      <c r="BB15" s="53">
        <f t="shared" si="33"/>
        <v>0.724376949</v>
      </c>
      <c r="BC15" s="66">
        <f t="shared" si="33"/>
        <v>0.6488544843</v>
      </c>
      <c r="BD15" s="66">
        <f t="shared" si="33"/>
        <v>0.7520143625</v>
      </c>
      <c r="BE15" s="199" t="s">
        <v>83</v>
      </c>
      <c r="BF15" s="200" t="s">
        <v>84</v>
      </c>
      <c r="BG15" s="201" t="s">
        <v>62</v>
      </c>
      <c r="BH15" s="202" t="s">
        <v>63</v>
      </c>
      <c r="BI15" s="203" t="s">
        <v>62</v>
      </c>
      <c r="BJ15" s="200" t="s">
        <v>63</v>
      </c>
      <c r="BK15" s="203" t="s">
        <v>62</v>
      </c>
      <c r="BL15" s="200" t="s">
        <v>63</v>
      </c>
      <c r="BM15" s="105"/>
      <c r="BN15" s="199" t="s">
        <v>83</v>
      </c>
      <c r="BO15" s="200" t="s">
        <v>84</v>
      </c>
      <c r="BP15" s="201" t="s">
        <v>62</v>
      </c>
      <c r="BQ15" s="202" t="s">
        <v>63</v>
      </c>
      <c r="BR15" s="203" t="s">
        <v>62</v>
      </c>
      <c r="BS15" s="200" t="s">
        <v>63</v>
      </c>
      <c r="BT15" s="203" t="s">
        <v>62</v>
      </c>
      <c r="BU15" s="200" t="s">
        <v>63</v>
      </c>
      <c r="BV15" s="105"/>
      <c r="BW15" s="105"/>
      <c r="BX15" s="105"/>
      <c r="BY15" s="105"/>
      <c r="BZ15" s="105"/>
      <c r="CA15" s="105"/>
      <c r="CB15" s="105"/>
      <c r="CC15" s="105"/>
      <c r="CD15" s="105"/>
      <c r="CE15" s="105"/>
      <c r="CF15" s="105"/>
      <c r="CG15" s="105"/>
      <c r="CH15" s="105"/>
      <c r="CI15" s="105"/>
      <c r="CJ15" s="105"/>
      <c r="CK15" s="105"/>
      <c r="CL15" s="105"/>
      <c r="CM15" s="105"/>
      <c r="CN15" s="105"/>
      <c r="CO15" s="105"/>
      <c r="CP15" s="105"/>
      <c r="CQ15" s="105"/>
      <c r="CR15" s="105"/>
      <c r="CS15" s="105"/>
      <c r="CT15" s="105"/>
      <c r="CU15" s="105"/>
      <c r="CV15" s="105"/>
      <c r="CW15" s="105"/>
      <c r="CX15" s="105"/>
      <c r="CY15" s="105"/>
      <c r="CZ15" s="122"/>
      <c r="DA15" s="46" t="s">
        <v>91</v>
      </c>
      <c r="DB15" s="117">
        <f t="shared" ref="DB15:DG15" si="34">DB14/365</f>
        <v>30244.90063</v>
      </c>
      <c r="DC15" s="117">
        <f t="shared" si="34"/>
        <v>45611.45205</v>
      </c>
      <c r="DD15" s="117">
        <f t="shared" si="34"/>
        <v>36701.24337</v>
      </c>
      <c r="DE15" s="117">
        <f t="shared" si="34"/>
        <v>49300.88767</v>
      </c>
      <c r="DF15" s="117">
        <f t="shared" si="34"/>
        <v>55569.88214</v>
      </c>
      <c r="DG15" s="117">
        <f t="shared" si="34"/>
        <v>53200</v>
      </c>
      <c r="DH15" s="117"/>
      <c r="DI15" s="105"/>
      <c r="DJ15" s="105"/>
      <c r="DK15" s="104"/>
      <c r="DL15" s="104"/>
    </row>
    <row r="16" ht="12.0" customHeight="1">
      <c r="A16" s="104"/>
      <c r="B16" s="113" t="s">
        <v>140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81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81"/>
      <c r="AC16" s="117">
        <f t="shared" ref="AC16:BA16" si="35">AC17*AC12</f>
        <v>104361.453</v>
      </c>
      <c r="AD16" s="117">
        <f t="shared" si="35"/>
        <v>104892.9658</v>
      </c>
      <c r="AE16" s="117">
        <f t="shared" si="35"/>
        <v>79925.57778</v>
      </c>
      <c r="AF16" s="117">
        <f t="shared" si="35"/>
        <v>55837.99</v>
      </c>
      <c r="AG16" s="117">
        <f t="shared" si="35"/>
        <v>112465.84</v>
      </c>
      <c r="AH16" s="117">
        <f t="shared" si="35"/>
        <v>147828.41</v>
      </c>
      <c r="AI16" s="117">
        <f t="shared" si="35"/>
        <v>99100.32</v>
      </c>
      <c r="AJ16" s="117">
        <f t="shared" si="35"/>
        <v>48837.45</v>
      </c>
      <c r="AK16" s="117">
        <f t="shared" si="35"/>
        <v>16637.68</v>
      </c>
      <c r="AL16" s="117">
        <f t="shared" si="35"/>
        <v>34732.19</v>
      </c>
      <c r="AM16" s="117">
        <f t="shared" si="35"/>
        <v>52960.4</v>
      </c>
      <c r="AN16" s="117">
        <f t="shared" si="35"/>
        <v>43357.25</v>
      </c>
      <c r="AO16" s="73">
        <f t="shared" si="35"/>
        <v>908200.3726</v>
      </c>
      <c r="AP16" s="117">
        <f t="shared" si="35"/>
        <v>37693.69</v>
      </c>
      <c r="AQ16" s="117">
        <f t="shared" si="35"/>
        <v>32947.33</v>
      </c>
      <c r="AR16" s="117">
        <f t="shared" si="35"/>
        <v>39603.28</v>
      </c>
      <c r="AS16" s="117">
        <f t="shared" si="35"/>
        <v>40930.34</v>
      </c>
      <c r="AT16" s="117">
        <f t="shared" si="35"/>
        <v>37693.69</v>
      </c>
      <c r="AU16" s="117">
        <f t="shared" si="35"/>
        <v>25892.21</v>
      </c>
      <c r="AV16" s="117">
        <f t="shared" si="35"/>
        <v>0</v>
      </c>
      <c r="AW16" s="117">
        <f t="shared" si="35"/>
        <v>0</v>
      </c>
      <c r="AX16" s="117">
        <f t="shared" si="35"/>
        <v>0</v>
      </c>
      <c r="AY16" s="117">
        <f t="shared" si="35"/>
        <v>0</v>
      </c>
      <c r="AZ16" s="117">
        <f t="shared" si="35"/>
        <v>0</v>
      </c>
      <c r="BA16" s="117">
        <f t="shared" si="35"/>
        <v>0</v>
      </c>
      <c r="BB16" s="182"/>
      <c r="BC16" s="2"/>
      <c r="BD16" s="2"/>
      <c r="BE16" s="46" t="s">
        <v>86</v>
      </c>
      <c r="BF16" s="117">
        <f>O9</f>
        <v>76000</v>
      </c>
      <c r="BG16" s="117">
        <f>AB9</f>
        <v>76000</v>
      </c>
      <c r="BH16" s="117">
        <f>AB9</f>
        <v>76000</v>
      </c>
      <c r="BI16" s="117">
        <f>AO9</f>
        <v>76000</v>
      </c>
      <c r="BJ16" s="117">
        <f>AO9</f>
        <v>76000</v>
      </c>
      <c r="BK16" s="117">
        <f>BB9</f>
        <v>76000</v>
      </c>
      <c r="BL16" s="117"/>
      <c r="BM16" s="105"/>
      <c r="BN16" s="46" t="s">
        <v>86</v>
      </c>
      <c r="BO16" s="117" t="str">
        <f t="shared" ref="BO16:BP16" si="36">#REF!</f>
        <v>#REF!</v>
      </c>
      <c r="BP16" s="117" t="str">
        <f t="shared" si="36"/>
        <v>#REF!</v>
      </c>
      <c r="BQ16" s="117" t="str">
        <f t="shared" ref="BQ16:BR16" si="37">BP16</f>
        <v>#REF!</v>
      </c>
      <c r="BR16" s="117" t="str">
        <f t="shared" si="37"/>
        <v>#REF!</v>
      </c>
      <c r="BS16" s="117" t="str">
        <f>A12</f>
        <v/>
      </c>
      <c r="BT16" s="117" t="str">
        <f>BR16</f>
        <v>#REF!</v>
      </c>
      <c r="BU16" s="117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4"/>
      <c r="DA16" s="210" t="str">
        <f>B14</f>
        <v>Milk Utilization % - PLAN</v>
      </c>
      <c r="DB16" s="212">
        <f t="shared" ref="DB16:DD16" si="38">DB15/DB13</f>
        <v>0.3979592188</v>
      </c>
      <c r="DC16" s="212">
        <f t="shared" si="38"/>
        <v>0.6001506849</v>
      </c>
      <c r="DD16" s="212">
        <f t="shared" si="38"/>
        <v>0.482911097</v>
      </c>
      <c r="DE16" s="212">
        <v>0.65</v>
      </c>
      <c r="DF16" s="212">
        <f>DF15/DF13</f>
        <v>0.7311826597</v>
      </c>
      <c r="DG16" s="212">
        <v>0.7</v>
      </c>
      <c r="DH16" s="213"/>
      <c r="DI16" s="105"/>
      <c r="DJ16" s="105"/>
      <c r="DK16" s="104"/>
      <c r="DL16" s="104"/>
    </row>
    <row r="17" ht="12.0" customHeight="1">
      <c r="A17" s="104"/>
      <c r="B17" s="113" t="s">
        <v>85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81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81"/>
      <c r="AC17" s="215">
        <v>0.0595</v>
      </c>
      <c r="AD17" s="215">
        <v>0.0807</v>
      </c>
      <c r="AE17" s="216">
        <v>0.0554</v>
      </c>
      <c r="AF17" s="217">
        <v>0.0370464070919991</v>
      </c>
      <c r="AG17" s="217">
        <v>0.06599816411866496</v>
      </c>
      <c r="AH17" s="217">
        <v>0.07438174185185369</v>
      </c>
      <c r="AI17" s="217">
        <v>0.050605449093416265</v>
      </c>
      <c r="AJ17" s="217">
        <v>0.027474969285807987</v>
      </c>
      <c r="AK17" s="217">
        <v>0.009740751567475614</v>
      </c>
      <c r="AL17" s="217">
        <v>0.01992126851694349</v>
      </c>
      <c r="AM17" s="217">
        <v>0.030432787982964296</v>
      </c>
      <c r="AN17" s="217">
        <v>0.026115460969079376</v>
      </c>
      <c r="AO17" s="80">
        <f>AVERAGE(AC17:AN17)</f>
        <v>0.04477641671</v>
      </c>
      <c r="AP17" s="217">
        <v>0.023132445471917888</v>
      </c>
      <c r="AQ17" s="217">
        <v>0.022128568739154357</v>
      </c>
      <c r="AR17" s="217">
        <v>0.025278202191584147</v>
      </c>
      <c r="AS17" s="217">
        <v>0.0254636869004597</v>
      </c>
      <c r="AT17" s="217">
        <v>0.02313244547191788</v>
      </c>
      <c r="AU17" s="217">
        <v>0.012676216746723926</v>
      </c>
      <c r="AV17" s="117"/>
      <c r="AW17" s="117"/>
      <c r="AX17" s="117"/>
      <c r="AY17" s="117"/>
      <c r="AZ17" s="117"/>
      <c r="BA17" s="117"/>
      <c r="BB17" s="182"/>
      <c r="BC17" s="2"/>
      <c r="BD17" s="2"/>
      <c r="BE17" s="46" t="s">
        <v>88</v>
      </c>
      <c r="BF17" s="117">
        <f>O12</f>
        <v>11039388.73</v>
      </c>
      <c r="BG17" s="117">
        <f>AB11</f>
        <v>16648180</v>
      </c>
      <c r="BH17" s="117">
        <f>AB12</f>
        <v>13395953.83</v>
      </c>
      <c r="BI17" s="117">
        <f>AO11</f>
        <v>17994824</v>
      </c>
      <c r="BJ17" s="117">
        <f>AO12</f>
        <v>20283006.98</v>
      </c>
      <c r="BK17" s="117">
        <f>BB11</f>
        <v>19490960</v>
      </c>
      <c r="BL17" s="117"/>
      <c r="BM17" s="105"/>
      <c r="BN17" s="46" t="s">
        <v>66</v>
      </c>
      <c r="BO17" s="117" t="str">
        <f t="shared" ref="BO17:BS17" si="39">SUM(#REF!)</f>
        <v>#REF!</v>
      </c>
      <c r="BP17" s="117" t="str">
        <f t="shared" si="39"/>
        <v>#REF!</v>
      </c>
      <c r="BQ17" s="117" t="str">
        <f t="shared" si="39"/>
        <v>#REF!</v>
      </c>
      <c r="BR17" s="117" t="str">
        <f t="shared" si="39"/>
        <v>#REF!</v>
      </c>
      <c r="BS17" s="117" t="str">
        <f t="shared" si="39"/>
        <v>#REF!</v>
      </c>
      <c r="BT17" s="117" t="str">
        <f>BT16*BT19*365</f>
        <v>#REF!</v>
      </c>
      <c r="BU17" s="117"/>
      <c r="BV17" s="105"/>
      <c r="BW17" s="105"/>
      <c r="BX17" s="105"/>
      <c r="BY17" s="105"/>
      <c r="BZ17" s="105"/>
      <c r="CA17" s="105"/>
      <c r="CB17" s="105"/>
      <c r="CC17" s="105"/>
      <c r="CD17" s="105"/>
      <c r="CE17" s="105"/>
      <c r="CF17" s="105"/>
      <c r="CG17" s="105"/>
      <c r="CH17" s="105"/>
      <c r="CI17" s="105"/>
      <c r="CJ17" s="105"/>
      <c r="CK17" s="105"/>
      <c r="CL17" s="105"/>
      <c r="CM17" s="105"/>
      <c r="CN17" s="105"/>
      <c r="CO17" s="105"/>
      <c r="CP17" s="105"/>
      <c r="CQ17" s="105"/>
      <c r="CR17" s="105"/>
      <c r="CS17" s="105"/>
      <c r="CT17" s="105"/>
      <c r="CU17" s="105"/>
      <c r="CV17" s="105"/>
      <c r="CW17" s="105"/>
      <c r="CX17" s="105"/>
      <c r="CY17" s="105"/>
      <c r="CZ17" s="104"/>
      <c r="DA17" s="107"/>
      <c r="DB17" s="107"/>
      <c r="DC17" s="107"/>
      <c r="DD17" s="107"/>
      <c r="DE17" s="107"/>
      <c r="DF17" s="107"/>
      <c r="DG17" s="107"/>
      <c r="DH17" s="107"/>
      <c r="DI17" s="105"/>
      <c r="DJ17" s="105"/>
      <c r="DK17" s="104"/>
      <c r="DL17" s="104"/>
    </row>
    <row r="18" ht="12.0" customHeight="1">
      <c r="A18" s="104"/>
      <c r="B18" s="113" t="s">
        <v>141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81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81"/>
      <c r="AC18" s="117">
        <f t="shared" ref="AC18:AN18" si="40">AC19*AC14</f>
        <v>0</v>
      </c>
      <c r="AD18" s="117">
        <f t="shared" si="40"/>
        <v>0</v>
      </c>
      <c r="AE18" s="117">
        <f t="shared" si="40"/>
        <v>0</v>
      </c>
      <c r="AF18" s="117">
        <f t="shared" si="40"/>
        <v>0</v>
      </c>
      <c r="AG18" s="117">
        <f t="shared" si="40"/>
        <v>0</v>
      </c>
      <c r="AH18" s="117">
        <f t="shared" si="40"/>
        <v>0</v>
      </c>
      <c r="AI18" s="117">
        <f t="shared" si="40"/>
        <v>0</v>
      </c>
      <c r="AJ18" s="117">
        <f t="shared" si="40"/>
        <v>0</v>
      </c>
      <c r="AK18" s="117">
        <f t="shared" si="40"/>
        <v>0</v>
      </c>
      <c r="AL18" s="117">
        <f t="shared" si="40"/>
        <v>0</v>
      </c>
      <c r="AM18" s="117">
        <f t="shared" si="40"/>
        <v>0</v>
      </c>
      <c r="AN18" s="117">
        <f t="shared" si="40"/>
        <v>0</v>
      </c>
      <c r="AO18" s="73">
        <f>AO19*AO12</f>
        <v>0</v>
      </c>
      <c r="AP18" s="117">
        <f t="shared" ref="AP18:BA18" si="41">AP19*AP14</f>
        <v>0</v>
      </c>
      <c r="AQ18" s="117">
        <f t="shared" si="41"/>
        <v>0</v>
      </c>
      <c r="AR18" s="117">
        <f t="shared" si="41"/>
        <v>0</v>
      </c>
      <c r="AS18" s="117">
        <f t="shared" si="41"/>
        <v>0</v>
      </c>
      <c r="AT18" s="117">
        <f t="shared" si="41"/>
        <v>0</v>
      </c>
      <c r="AU18" s="117">
        <f t="shared" si="41"/>
        <v>0</v>
      </c>
      <c r="AV18" s="117">
        <f t="shared" si="41"/>
        <v>0</v>
      </c>
      <c r="AW18" s="117">
        <f t="shared" si="41"/>
        <v>0</v>
      </c>
      <c r="AX18" s="117">
        <f t="shared" si="41"/>
        <v>0</v>
      </c>
      <c r="AY18" s="117">
        <f t="shared" si="41"/>
        <v>0</v>
      </c>
      <c r="AZ18" s="117">
        <f t="shared" si="41"/>
        <v>0</v>
      </c>
      <c r="BA18" s="117">
        <f t="shared" si="41"/>
        <v>0</v>
      </c>
      <c r="BB18" s="182"/>
      <c r="BC18" s="2"/>
      <c r="BD18" s="2"/>
      <c r="BE18" s="46" t="s">
        <v>90</v>
      </c>
      <c r="BF18" s="117">
        <f>BF17/O7</f>
        <v>30244.90063</v>
      </c>
      <c r="BG18" s="117">
        <f>BG17/AB7</f>
        <v>45611.45205</v>
      </c>
      <c r="BH18" s="117">
        <f>BH17/AB7</f>
        <v>36701.24337</v>
      </c>
      <c r="BI18" s="117">
        <f>BI17/AO7</f>
        <v>49166.18579</v>
      </c>
      <c r="BJ18" s="117">
        <f>BJ17/AO7</f>
        <v>55418.05186</v>
      </c>
      <c r="BK18" s="117">
        <f>BK17/BB7</f>
        <v>107684.8619</v>
      </c>
      <c r="BL18" s="117"/>
      <c r="BM18" s="105"/>
      <c r="BN18" s="46" t="s">
        <v>91</v>
      </c>
      <c r="BO18" s="117" t="str">
        <f t="shared" ref="BO18:BT18" si="42">BO17/365</f>
        <v>#REF!</v>
      </c>
      <c r="BP18" s="117" t="str">
        <f t="shared" si="42"/>
        <v>#REF!</v>
      </c>
      <c r="BQ18" s="117" t="str">
        <f t="shared" si="42"/>
        <v>#REF!</v>
      </c>
      <c r="BR18" s="117" t="str">
        <f t="shared" si="42"/>
        <v>#REF!</v>
      </c>
      <c r="BS18" s="117" t="str">
        <f t="shared" si="42"/>
        <v>#REF!</v>
      </c>
      <c r="BT18" s="117" t="str">
        <f t="shared" si="42"/>
        <v>#REF!</v>
      </c>
      <c r="BU18" s="117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4"/>
      <c r="DA18" s="105"/>
      <c r="DB18" s="105"/>
      <c r="DC18" s="105"/>
      <c r="DD18" s="105"/>
      <c r="DE18" s="105"/>
      <c r="DF18" s="105"/>
      <c r="DG18" s="105"/>
      <c r="DH18" s="105"/>
      <c r="DI18" s="105"/>
      <c r="DJ18" s="105"/>
      <c r="DK18" s="104"/>
      <c r="DL18" s="104"/>
    </row>
    <row r="19" ht="12.0" customHeight="1">
      <c r="A19" s="104"/>
      <c r="B19" s="113" t="s">
        <v>89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81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81"/>
      <c r="AC19" s="217">
        <v>0.0</v>
      </c>
      <c r="AD19" s="217">
        <v>0.0</v>
      </c>
      <c r="AE19" s="217">
        <v>0.0</v>
      </c>
      <c r="AF19" s="217">
        <v>0.0</v>
      </c>
      <c r="AG19" s="217">
        <v>0.0</v>
      </c>
      <c r="AH19" s="217">
        <v>0.0</v>
      </c>
      <c r="AI19" s="217">
        <v>0.0</v>
      </c>
      <c r="AJ19" s="217">
        <v>0.0</v>
      </c>
      <c r="AK19" s="217">
        <v>0.0</v>
      </c>
      <c r="AL19" s="217">
        <v>0.0</v>
      </c>
      <c r="AM19" s="217">
        <v>0.0</v>
      </c>
      <c r="AN19" s="217">
        <v>0.0</v>
      </c>
      <c r="AO19" s="80">
        <f>AVERAGE(AC19:AN19)</f>
        <v>0</v>
      </c>
      <c r="AP19" s="217">
        <v>0.0</v>
      </c>
      <c r="AQ19" s="217">
        <v>0.0</v>
      </c>
      <c r="AR19" s="217">
        <v>0.0</v>
      </c>
      <c r="AS19" s="217">
        <v>0.0</v>
      </c>
      <c r="AT19" s="217">
        <v>0.0</v>
      </c>
      <c r="AU19" s="217">
        <v>0.0</v>
      </c>
      <c r="AV19" s="117"/>
      <c r="AW19" s="117"/>
      <c r="AX19" s="117"/>
      <c r="AY19" s="117"/>
      <c r="AZ19" s="117"/>
      <c r="BA19" s="117"/>
      <c r="BB19" s="182"/>
      <c r="BC19" s="2"/>
      <c r="BD19" s="2"/>
      <c r="BE19" s="51" t="s">
        <v>93</v>
      </c>
      <c r="BF19" s="212">
        <f t="shared" ref="BF19:BH19" si="43">BF18/BF16</f>
        <v>0.3979592188</v>
      </c>
      <c r="BG19" s="212">
        <f t="shared" si="43"/>
        <v>0.6001506849</v>
      </c>
      <c r="BH19" s="212">
        <f t="shared" si="43"/>
        <v>0.482911097</v>
      </c>
      <c r="BI19" s="212">
        <v>0.65</v>
      </c>
      <c r="BJ19" s="212">
        <f t="shared" ref="BJ19:BK19" si="44">BJ18/BJ16</f>
        <v>0.7291848929</v>
      </c>
      <c r="BK19" s="212">
        <f t="shared" si="44"/>
        <v>1.416906077</v>
      </c>
      <c r="BL19" s="213"/>
      <c r="BM19" s="105"/>
      <c r="BN19" s="210" t="str">
        <f>#REF!</f>
        <v>#REF!</v>
      </c>
      <c r="BO19" s="212" t="str">
        <f t="shared" ref="BO19:BQ19" si="45">BO18/BO16</f>
        <v>#REF!</v>
      </c>
      <c r="BP19" s="212" t="str">
        <f t="shared" si="45"/>
        <v>#REF!</v>
      </c>
      <c r="BQ19" s="212" t="str">
        <f t="shared" si="45"/>
        <v>#REF!</v>
      </c>
      <c r="BR19" s="212">
        <v>0.65</v>
      </c>
      <c r="BS19" s="212" t="str">
        <f>BS18/BS16</f>
        <v>#REF!</v>
      </c>
      <c r="BT19" s="212">
        <v>0.7</v>
      </c>
      <c r="BU19" s="213"/>
      <c r="BV19" s="105"/>
      <c r="BW19" s="105"/>
      <c r="BX19" s="105"/>
      <c r="BY19" s="105"/>
      <c r="BZ19" s="105"/>
      <c r="CA19" s="105"/>
      <c r="CB19" s="105"/>
      <c r="CC19" s="105"/>
      <c r="CD19" s="105"/>
      <c r="CE19" s="105"/>
      <c r="CF19" s="105"/>
      <c r="CG19" s="105"/>
      <c r="CH19" s="105"/>
      <c r="CI19" s="105"/>
      <c r="CJ19" s="105"/>
      <c r="CK19" s="105"/>
      <c r="CL19" s="105"/>
      <c r="CM19" s="105"/>
      <c r="CN19" s="105"/>
      <c r="CO19" s="105"/>
      <c r="CP19" s="105"/>
      <c r="CQ19" s="105"/>
      <c r="CR19" s="105"/>
      <c r="CS19" s="105"/>
      <c r="CT19" s="105"/>
      <c r="CU19" s="105"/>
      <c r="CV19" s="105"/>
      <c r="CW19" s="105"/>
      <c r="CX19" s="105"/>
      <c r="CY19" s="105"/>
      <c r="CZ19" s="104"/>
      <c r="DA19" s="105"/>
      <c r="DB19" s="105"/>
      <c r="DC19" s="105"/>
      <c r="DD19" s="105"/>
      <c r="DE19" s="105"/>
      <c r="DF19" s="105"/>
      <c r="DG19" s="105"/>
      <c r="DH19" s="105"/>
      <c r="DI19" s="105"/>
      <c r="DJ19" s="105"/>
      <c r="DK19" s="104"/>
      <c r="DL19" s="104"/>
    </row>
    <row r="20" ht="12.0" customHeight="1">
      <c r="A20" s="104"/>
      <c r="B20" s="113" t="s">
        <v>148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81"/>
      <c r="P20" s="114"/>
      <c r="Q20" s="114"/>
      <c r="R20" s="114"/>
      <c r="S20" s="114"/>
      <c r="T20" s="114"/>
      <c r="U20" s="114"/>
      <c r="V20" s="114"/>
      <c r="W20" s="114"/>
      <c r="X20" s="114">
        <f t="shared" ref="X20:AA20" si="46">X21*X12</f>
        <v>151466.492</v>
      </c>
      <c r="Y20" s="114">
        <f t="shared" si="46"/>
        <v>111450.5138</v>
      </c>
      <c r="Z20" s="114">
        <f t="shared" si="46"/>
        <v>117802.2399</v>
      </c>
      <c r="AA20" s="114">
        <f t="shared" si="46"/>
        <v>100337.5027</v>
      </c>
      <c r="AB20" s="181"/>
      <c r="AC20" s="117">
        <f t="shared" ref="AC20:BA20" si="47">AC21*AC12</f>
        <v>126636.9228</v>
      </c>
      <c r="AD20" s="117">
        <f t="shared" si="47"/>
        <v>87605.77321</v>
      </c>
      <c r="AE20" s="117">
        <f t="shared" si="47"/>
        <v>98824.94726</v>
      </c>
      <c r="AF20" s="117">
        <f t="shared" si="47"/>
        <v>56780.58</v>
      </c>
      <c r="AG20" s="117">
        <f t="shared" si="47"/>
        <v>80352.3</v>
      </c>
      <c r="AH20" s="117">
        <f t="shared" si="47"/>
        <v>90828.02</v>
      </c>
      <c r="AI20" s="117">
        <f t="shared" si="47"/>
        <v>89022.97385</v>
      </c>
      <c r="AJ20" s="117">
        <f t="shared" si="47"/>
        <v>57181.81</v>
      </c>
      <c r="AK20" s="117">
        <f t="shared" si="47"/>
        <v>17973.83</v>
      </c>
      <c r="AL20" s="117">
        <f t="shared" si="47"/>
        <v>17796.86</v>
      </c>
      <c r="AM20" s="117">
        <f t="shared" si="47"/>
        <v>26744.83</v>
      </c>
      <c r="AN20" s="117">
        <f t="shared" si="47"/>
        <v>17048.02</v>
      </c>
      <c r="AO20" s="73">
        <f t="shared" si="47"/>
        <v>781948.1728</v>
      </c>
      <c r="AP20" s="117">
        <f t="shared" si="47"/>
        <v>29887.8</v>
      </c>
      <c r="AQ20" s="117">
        <f t="shared" si="47"/>
        <v>29366.84</v>
      </c>
      <c r="AR20" s="117">
        <f t="shared" si="47"/>
        <v>39299.70002</v>
      </c>
      <c r="AS20" s="117">
        <f t="shared" si="47"/>
        <v>40930.34</v>
      </c>
      <c r="AT20" s="117">
        <f t="shared" si="47"/>
        <v>29887.8</v>
      </c>
      <c r="AU20" s="117">
        <f t="shared" si="47"/>
        <v>24825.88</v>
      </c>
      <c r="AV20" s="117">
        <f t="shared" si="47"/>
        <v>0</v>
      </c>
      <c r="AW20" s="117">
        <f t="shared" si="47"/>
        <v>0</v>
      </c>
      <c r="AX20" s="117">
        <f t="shared" si="47"/>
        <v>0</v>
      </c>
      <c r="AY20" s="117">
        <f t="shared" si="47"/>
        <v>0</v>
      </c>
      <c r="AZ20" s="117">
        <f t="shared" si="47"/>
        <v>0</v>
      </c>
      <c r="BA20" s="117">
        <f t="shared" si="47"/>
        <v>0</v>
      </c>
      <c r="BB20" s="182"/>
      <c r="BC20" s="2"/>
      <c r="BD20" s="2"/>
      <c r="BE20" s="107"/>
      <c r="BF20" s="107"/>
      <c r="BG20" s="107"/>
      <c r="BH20" s="107"/>
      <c r="BI20" s="107"/>
      <c r="BJ20" s="107"/>
      <c r="BK20" s="107"/>
      <c r="BL20" s="107"/>
      <c r="BM20" s="105"/>
      <c r="BN20" s="107"/>
      <c r="BO20" s="107"/>
      <c r="BP20" s="107"/>
      <c r="BQ20" s="107"/>
      <c r="BR20" s="107"/>
      <c r="BS20" s="107"/>
      <c r="BT20" s="107"/>
      <c r="BU20" s="107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4"/>
      <c r="DA20" s="117"/>
      <c r="DB20" s="193" t="s">
        <v>55</v>
      </c>
      <c r="DC20" s="193" t="s">
        <v>56</v>
      </c>
      <c r="DD20" s="193"/>
      <c r="DE20" s="193" t="s">
        <v>57</v>
      </c>
      <c r="DF20" s="193"/>
      <c r="DG20" s="193" t="s">
        <v>58</v>
      </c>
      <c r="DH20" s="193"/>
      <c r="DI20" s="105"/>
      <c r="DJ20" s="105"/>
      <c r="DK20" s="104"/>
      <c r="DL20" s="104"/>
    </row>
    <row r="21" ht="12.0" customHeight="1">
      <c r="A21" s="104"/>
      <c r="B21" s="113" t="s">
        <v>94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81"/>
      <c r="P21" s="114"/>
      <c r="Q21" s="114"/>
      <c r="R21" s="114"/>
      <c r="S21" s="114"/>
      <c r="T21" s="114"/>
      <c r="U21" s="114"/>
      <c r="V21" s="114"/>
      <c r="W21" s="114"/>
      <c r="X21" s="218">
        <v>0.12699703909221424</v>
      </c>
      <c r="Y21" s="219">
        <v>0.08389638981147962</v>
      </c>
      <c r="Z21" s="219">
        <v>0.08549759453464743</v>
      </c>
      <c r="AA21" s="219">
        <v>0.06592099759222984</v>
      </c>
      <c r="AB21" s="220"/>
      <c r="AC21" s="215">
        <v>0.0722</v>
      </c>
      <c r="AD21" s="215">
        <v>0.0674</v>
      </c>
      <c r="AE21" s="216">
        <v>0.0685</v>
      </c>
      <c r="AF21" s="217">
        <v>0.03767178011958923</v>
      </c>
      <c r="AG21" s="217">
        <v>0.04715302248853699</v>
      </c>
      <c r="AH21" s="217">
        <v>0.04570127174171057</v>
      </c>
      <c r="AI21" s="217">
        <v>0.04545946543330488</v>
      </c>
      <c r="AJ21" s="217">
        <v>0.03216933876475754</v>
      </c>
      <c r="AK21" s="217">
        <v>0.010523018398360843</v>
      </c>
      <c r="AL21" s="217">
        <v>0.010207707225442762</v>
      </c>
      <c r="AM21" s="217">
        <v>0.015368459094538996</v>
      </c>
      <c r="AN21" s="217">
        <v>0.010268568714807434</v>
      </c>
      <c r="AO21" s="80">
        <f>AVERAGE(AC21:AN21)</f>
        <v>0.038551886</v>
      </c>
      <c r="AP21" s="217">
        <v>0.01834200641474972</v>
      </c>
      <c r="AQ21" s="217">
        <v>0.01972378756007688</v>
      </c>
      <c r="AR21" s="217">
        <v>0.02508443147381321</v>
      </c>
      <c r="AS21" s="217">
        <v>0.02546368690045974</v>
      </c>
      <c r="AT21" s="217">
        <v>0.018342006414749718</v>
      </c>
      <c r="AU21" s="217">
        <v>0.012154166670522083</v>
      </c>
      <c r="AV21" s="117"/>
      <c r="AW21" s="117"/>
      <c r="AX21" s="117"/>
      <c r="AY21" s="117"/>
      <c r="AZ21" s="117"/>
      <c r="BA21" s="117"/>
      <c r="BB21" s="182"/>
      <c r="BC21" s="2"/>
      <c r="BD21" s="2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5"/>
      <c r="CC21" s="105"/>
      <c r="CD21" s="105"/>
      <c r="CE21" s="105"/>
      <c r="CF21" s="105"/>
      <c r="CG21" s="105"/>
      <c r="CH21" s="105"/>
      <c r="CI21" s="105"/>
      <c r="CJ21" s="105"/>
      <c r="CK21" s="105"/>
      <c r="CL21" s="105"/>
      <c r="CM21" s="105"/>
      <c r="CN21" s="105"/>
      <c r="CO21" s="105"/>
      <c r="CP21" s="105"/>
      <c r="CQ21" s="105"/>
      <c r="CR21" s="105"/>
      <c r="CS21" s="105"/>
      <c r="CT21" s="105"/>
      <c r="CU21" s="105"/>
      <c r="CV21" s="105"/>
      <c r="CW21" s="105"/>
      <c r="CX21" s="105"/>
      <c r="CY21" s="105"/>
      <c r="CZ21" s="104"/>
      <c r="DA21" s="199" t="s">
        <v>98</v>
      </c>
      <c r="DB21" s="200" t="s">
        <v>84</v>
      </c>
      <c r="DC21" s="201" t="s">
        <v>62</v>
      </c>
      <c r="DD21" s="202" t="s">
        <v>63</v>
      </c>
      <c r="DE21" s="203" t="s">
        <v>62</v>
      </c>
      <c r="DF21" s="200" t="s">
        <v>63</v>
      </c>
      <c r="DG21" s="203" t="s">
        <v>62</v>
      </c>
      <c r="DH21" s="200" t="s">
        <v>63</v>
      </c>
      <c r="DI21" s="105"/>
      <c r="DJ21" s="105"/>
      <c r="DK21" s="104"/>
      <c r="DL21" s="104"/>
    </row>
    <row r="22" ht="12.0" customHeight="1">
      <c r="A22" s="104"/>
      <c r="B22" s="113" t="s">
        <v>151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81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81"/>
      <c r="AC22" s="117">
        <v>0.0</v>
      </c>
      <c r="AD22" s="117">
        <v>0.0</v>
      </c>
      <c r="AE22" s="117">
        <v>0.0</v>
      </c>
      <c r="AF22" s="117">
        <v>0.0</v>
      </c>
      <c r="AG22" s="117">
        <v>0.0</v>
      </c>
      <c r="AH22" s="117">
        <v>0.0</v>
      </c>
      <c r="AI22" s="117">
        <v>0.0</v>
      </c>
      <c r="AJ22" s="117">
        <v>0.0</v>
      </c>
      <c r="AK22" s="117">
        <v>0.0</v>
      </c>
      <c r="AL22" s="117">
        <v>0.0</v>
      </c>
      <c r="AM22" s="117">
        <v>0.0</v>
      </c>
      <c r="AN22" s="117">
        <v>0.0</v>
      </c>
      <c r="AO22" s="73">
        <f>AO23*AO12</f>
        <v>0</v>
      </c>
      <c r="AP22" s="117">
        <v>0.0</v>
      </c>
      <c r="AQ22" s="117">
        <v>0.0</v>
      </c>
      <c r="AR22" s="117">
        <v>0.0</v>
      </c>
      <c r="AS22" s="117">
        <v>0.0</v>
      </c>
      <c r="AT22" s="117">
        <v>0.0</v>
      </c>
      <c r="AU22" s="117">
        <v>0.0</v>
      </c>
      <c r="AV22" s="117">
        <v>0.0</v>
      </c>
      <c r="AW22" s="117">
        <v>0.0</v>
      </c>
      <c r="AX22" s="117">
        <v>0.0</v>
      </c>
      <c r="AY22" s="117">
        <v>0.0</v>
      </c>
      <c r="AZ22" s="117">
        <v>0.0</v>
      </c>
      <c r="BA22" s="117">
        <v>0.0</v>
      </c>
      <c r="BB22" s="182"/>
      <c r="BC22" s="2"/>
      <c r="BD22" s="2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5"/>
      <c r="CC22" s="105"/>
      <c r="CD22" s="105"/>
      <c r="CE22" s="105"/>
      <c r="CF22" s="105"/>
      <c r="CG22" s="105"/>
      <c r="CH22" s="105"/>
      <c r="CI22" s="105"/>
      <c r="CJ22" s="105"/>
      <c r="CK22" s="105"/>
      <c r="CL22" s="105"/>
      <c r="CM22" s="105"/>
      <c r="CN22" s="105"/>
      <c r="CO22" s="105"/>
      <c r="CP22" s="105"/>
      <c r="CQ22" s="105"/>
      <c r="CR22" s="105"/>
      <c r="CS22" s="105"/>
      <c r="CT22" s="105"/>
      <c r="CU22" s="105"/>
      <c r="CV22" s="105"/>
      <c r="CW22" s="105"/>
      <c r="CX22" s="105"/>
      <c r="CY22" s="105"/>
      <c r="CZ22" s="104"/>
      <c r="DA22" s="221" t="str">
        <f t="shared" ref="DA22:DA23" si="48">B39</f>
        <v>Total Farmers - Actual</v>
      </c>
      <c r="DB22" s="117">
        <f t="shared" ref="DB22:DB23" si="49">N39</f>
        <v>1750</v>
      </c>
      <c r="DC22" s="117">
        <f>DC31</f>
        <v>2600</v>
      </c>
      <c r="DD22" s="117">
        <f t="shared" ref="DD22:DD23" si="50">AA39</f>
        <v>2674</v>
      </c>
      <c r="DE22" s="117">
        <f>DE31</f>
        <v>3500</v>
      </c>
      <c r="DF22" s="117"/>
      <c r="DG22" s="117">
        <f>DG31</f>
        <v>4500</v>
      </c>
      <c r="DH22" s="117"/>
      <c r="DI22" s="105"/>
      <c r="DJ22" s="105"/>
      <c r="DK22" s="104"/>
      <c r="DL22" s="104"/>
    </row>
    <row r="23" ht="12.0" customHeight="1">
      <c r="A23" s="104"/>
      <c r="B23" s="113" t="s">
        <v>96</v>
      </c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81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81"/>
      <c r="AC23" s="217">
        <v>0.0</v>
      </c>
      <c r="AD23" s="217">
        <v>0.0</v>
      </c>
      <c r="AE23" s="217">
        <v>0.0</v>
      </c>
      <c r="AF23" s="217">
        <v>0.0</v>
      </c>
      <c r="AG23" s="217">
        <v>0.0</v>
      </c>
      <c r="AH23" s="217">
        <v>0.0</v>
      </c>
      <c r="AI23" s="217">
        <v>0.0</v>
      </c>
      <c r="AJ23" s="217">
        <v>0.0</v>
      </c>
      <c r="AK23" s="217">
        <v>0.0</v>
      </c>
      <c r="AL23" s="217">
        <v>0.0</v>
      </c>
      <c r="AM23" s="217">
        <v>0.0</v>
      </c>
      <c r="AN23" s="217">
        <v>0.0</v>
      </c>
      <c r="AO23" s="80">
        <f>AVERAGE(AC23:AN23)</f>
        <v>0</v>
      </c>
      <c r="AP23" s="217">
        <v>0.0</v>
      </c>
      <c r="AQ23" s="217">
        <v>0.0</v>
      </c>
      <c r="AR23" s="217">
        <v>0.0</v>
      </c>
      <c r="AS23" s="217">
        <v>0.0</v>
      </c>
      <c r="AT23" s="217">
        <v>0.0</v>
      </c>
      <c r="AU23" s="217">
        <v>0.0</v>
      </c>
      <c r="AV23" s="217">
        <v>0.0</v>
      </c>
      <c r="AW23" s="217">
        <v>0.0</v>
      </c>
      <c r="AX23" s="217">
        <v>0.0</v>
      </c>
      <c r="AY23" s="217">
        <v>0.0</v>
      </c>
      <c r="AZ23" s="217">
        <v>0.0</v>
      </c>
      <c r="BA23" s="217">
        <v>0.0</v>
      </c>
      <c r="BB23" s="182"/>
      <c r="BC23" s="2"/>
      <c r="BD23" s="2"/>
      <c r="BE23" s="117"/>
      <c r="BF23" s="193" t="s">
        <v>55</v>
      </c>
      <c r="BG23" s="193" t="s">
        <v>56</v>
      </c>
      <c r="BH23" s="193"/>
      <c r="BI23" s="193" t="s">
        <v>57</v>
      </c>
      <c r="BJ23" s="193"/>
      <c r="BK23" s="193" t="s">
        <v>58</v>
      </c>
      <c r="BL23" s="193"/>
      <c r="BM23" s="105"/>
      <c r="BN23" s="117"/>
      <c r="BO23" s="193" t="s">
        <v>55</v>
      </c>
      <c r="BP23" s="193" t="s">
        <v>56</v>
      </c>
      <c r="BQ23" s="193"/>
      <c r="BR23" s="193" t="s">
        <v>57</v>
      </c>
      <c r="BS23" s="193"/>
      <c r="BT23" s="193" t="s">
        <v>58</v>
      </c>
      <c r="BU23" s="193"/>
      <c r="BV23" s="105"/>
      <c r="BW23" s="105"/>
      <c r="BX23" s="105"/>
      <c r="BY23" s="105"/>
      <c r="BZ23" s="105"/>
      <c r="CA23" s="105"/>
      <c r="CB23" s="105"/>
      <c r="CC23" s="105"/>
      <c r="CD23" s="105"/>
      <c r="CE23" s="105"/>
      <c r="CF23" s="105"/>
      <c r="CG23" s="105"/>
      <c r="CH23" s="105"/>
      <c r="CI23" s="105"/>
      <c r="CJ23" s="105"/>
      <c r="CK23" s="105"/>
      <c r="CL23" s="105"/>
      <c r="CM23" s="105"/>
      <c r="CN23" s="105"/>
      <c r="CO23" s="105"/>
      <c r="CP23" s="105"/>
      <c r="CQ23" s="105"/>
      <c r="CR23" s="105"/>
      <c r="CS23" s="105"/>
      <c r="CT23" s="105"/>
      <c r="CU23" s="105"/>
      <c r="CV23" s="105"/>
      <c r="CW23" s="105"/>
      <c r="CX23" s="105"/>
      <c r="CY23" s="105"/>
      <c r="CZ23" s="104"/>
      <c r="DA23" s="221" t="str">
        <f t="shared" si="48"/>
        <v>Total Women Farmers - Actual</v>
      </c>
      <c r="DB23" s="117">
        <f t="shared" si="49"/>
        <v>105</v>
      </c>
      <c r="DC23" s="117">
        <f>DC24*DC22</f>
        <v>390</v>
      </c>
      <c r="DD23" s="117">
        <f t="shared" si="50"/>
        <v>1204</v>
      </c>
      <c r="DE23" s="117">
        <f>DE24*DE22</f>
        <v>2450</v>
      </c>
      <c r="DF23" s="117"/>
      <c r="DG23" s="117">
        <f>DG24*DG22</f>
        <v>3600</v>
      </c>
      <c r="DH23" s="117"/>
      <c r="DI23" s="105"/>
      <c r="DJ23" s="105"/>
      <c r="DK23" s="104"/>
      <c r="DL23" s="104"/>
    </row>
    <row r="24" ht="12.0" customHeight="1">
      <c r="A24" s="104"/>
      <c r="B24" s="113" t="s">
        <v>152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81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81"/>
      <c r="AC24" s="117"/>
      <c r="AD24" s="117"/>
      <c r="AE24" s="117">
        <f t="shared" ref="AE24:BA24" si="51">AE25*AE12</f>
        <v>111520.7069</v>
      </c>
      <c r="AF24" s="117">
        <f t="shared" si="51"/>
        <v>67562.11</v>
      </c>
      <c r="AG24" s="117">
        <f t="shared" si="51"/>
        <v>119589.04</v>
      </c>
      <c r="AH24" s="117">
        <f t="shared" si="51"/>
        <v>149251.46</v>
      </c>
      <c r="AI24" s="117">
        <f t="shared" si="51"/>
        <v>113269.56</v>
      </c>
      <c r="AJ24" s="117">
        <f t="shared" si="51"/>
        <v>65048.67</v>
      </c>
      <c r="AK24" s="117">
        <f t="shared" si="51"/>
        <v>26036.21</v>
      </c>
      <c r="AL24" s="117">
        <f t="shared" si="51"/>
        <v>37068.63</v>
      </c>
      <c r="AM24" s="117">
        <f t="shared" si="51"/>
        <v>59308.35</v>
      </c>
      <c r="AN24" s="117">
        <f t="shared" si="51"/>
        <v>44460.84</v>
      </c>
      <c r="AO24" s="73">
        <f t="shared" si="51"/>
        <v>931400.3803</v>
      </c>
      <c r="AP24" s="117">
        <f t="shared" si="51"/>
        <v>40032.13</v>
      </c>
      <c r="AQ24" s="117">
        <f t="shared" si="51"/>
        <v>33558.76</v>
      </c>
      <c r="AR24" s="117">
        <f t="shared" si="51"/>
        <v>40652.14002</v>
      </c>
      <c r="AS24" s="117">
        <f t="shared" si="51"/>
        <v>0</v>
      </c>
      <c r="AT24" s="117">
        <f t="shared" si="51"/>
        <v>0</v>
      </c>
      <c r="AU24" s="117">
        <f t="shared" si="51"/>
        <v>0</v>
      </c>
      <c r="AV24" s="117">
        <f t="shared" si="51"/>
        <v>0</v>
      </c>
      <c r="AW24" s="117">
        <f t="shared" si="51"/>
        <v>0</v>
      </c>
      <c r="AX24" s="117">
        <f t="shared" si="51"/>
        <v>0</v>
      </c>
      <c r="AY24" s="117">
        <f t="shared" si="51"/>
        <v>0</v>
      </c>
      <c r="AZ24" s="117">
        <f t="shared" si="51"/>
        <v>0</v>
      </c>
      <c r="BA24" s="117">
        <f t="shared" si="51"/>
        <v>0</v>
      </c>
      <c r="BB24" s="182"/>
      <c r="BC24" s="2"/>
      <c r="BD24" s="2"/>
      <c r="BE24" s="199" t="s">
        <v>98</v>
      </c>
      <c r="BF24" s="200" t="s">
        <v>84</v>
      </c>
      <c r="BG24" s="201" t="s">
        <v>62</v>
      </c>
      <c r="BH24" s="202" t="s">
        <v>63</v>
      </c>
      <c r="BI24" s="203" t="s">
        <v>62</v>
      </c>
      <c r="BJ24" s="200" t="s">
        <v>63</v>
      </c>
      <c r="BK24" s="203" t="s">
        <v>62</v>
      </c>
      <c r="BL24" s="200" t="s">
        <v>63</v>
      </c>
      <c r="BM24" s="105"/>
      <c r="BN24" s="199" t="s">
        <v>98</v>
      </c>
      <c r="BO24" s="200" t="s">
        <v>84</v>
      </c>
      <c r="BP24" s="201" t="s">
        <v>62</v>
      </c>
      <c r="BQ24" s="202" t="s">
        <v>63</v>
      </c>
      <c r="BR24" s="203" t="s">
        <v>62</v>
      </c>
      <c r="BS24" s="200" t="s">
        <v>63</v>
      </c>
      <c r="BT24" s="203" t="s">
        <v>62</v>
      </c>
      <c r="BU24" s="200" t="s">
        <v>63</v>
      </c>
      <c r="BV24" s="105"/>
      <c r="BW24" s="105"/>
      <c r="BX24" s="105"/>
      <c r="BY24" s="105"/>
      <c r="BZ24" s="105"/>
      <c r="CA24" s="105"/>
      <c r="CB24" s="105"/>
      <c r="CC24" s="105"/>
      <c r="CD24" s="105"/>
      <c r="CE24" s="105"/>
      <c r="CF24" s="105"/>
      <c r="CG24" s="105"/>
      <c r="CH24" s="105"/>
      <c r="CI24" s="105"/>
      <c r="CJ24" s="105"/>
      <c r="CK24" s="105"/>
      <c r="CL24" s="105"/>
      <c r="CM24" s="105"/>
      <c r="CN24" s="105"/>
      <c r="CO24" s="105"/>
      <c r="CP24" s="105"/>
      <c r="CQ24" s="105"/>
      <c r="CR24" s="105"/>
      <c r="CS24" s="105"/>
      <c r="CT24" s="105"/>
      <c r="CU24" s="105"/>
      <c r="CV24" s="105"/>
      <c r="CW24" s="105"/>
      <c r="CX24" s="105"/>
      <c r="CY24" s="105"/>
      <c r="CZ24" s="104"/>
      <c r="DA24" s="210" t="str">
        <f>B42</f>
        <v>Women Farmers % - Actual</v>
      </c>
      <c r="DB24" s="212">
        <f>DB23/DB22</f>
        <v>0.06</v>
      </c>
      <c r="DC24" s="212">
        <v>0.15</v>
      </c>
      <c r="DD24" s="212">
        <f>DD23/DD22</f>
        <v>0.4502617801</v>
      </c>
      <c r="DE24" s="212">
        <v>0.7</v>
      </c>
      <c r="DF24" s="222"/>
      <c r="DG24" s="212">
        <v>0.8</v>
      </c>
      <c r="DH24" s="213"/>
      <c r="DI24" s="105"/>
      <c r="DJ24" s="105"/>
      <c r="DK24" s="104"/>
      <c r="DL24" s="104"/>
    </row>
    <row r="25" ht="12.0" customHeight="1">
      <c r="A25" s="104"/>
      <c r="B25" s="113" t="s">
        <v>99</v>
      </c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81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81"/>
      <c r="AC25" s="117"/>
      <c r="AD25" s="117"/>
      <c r="AE25" s="217">
        <v>0.0773</v>
      </c>
      <c r="AF25" s="217">
        <v>0.04482491993451811</v>
      </c>
      <c r="AG25" s="217">
        <v>0.07017826113879191</v>
      </c>
      <c r="AH25" s="217">
        <v>0.07509776753150674</v>
      </c>
      <c r="AI25" s="217">
        <v>0.05784095301017856</v>
      </c>
      <c r="AJ25" s="217">
        <v>0.036595076326316374</v>
      </c>
      <c r="AK25" s="217">
        <v>0.015243246256005902</v>
      </c>
      <c r="AL25" s="217">
        <v>0.0212613754498414</v>
      </c>
      <c r="AM25" s="217">
        <v>0.03408052887005084</v>
      </c>
      <c r="AN25" s="217">
        <v>0.026780188588355656</v>
      </c>
      <c r="AO25" s="80">
        <f>AVERAGE(AC25:AN25)</f>
        <v>0.04592023171</v>
      </c>
      <c r="AP25" s="217">
        <v>0.024567535424356923</v>
      </c>
      <c r="AQ25" s="217">
        <v>0.02253922631851454</v>
      </c>
      <c r="AR25" s="217">
        <v>0.025947674411569532</v>
      </c>
      <c r="AS25" s="217">
        <v>0.0</v>
      </c>
      <c r="AT25" s="217">
        <v>0.0</v>
      </c>
      <c r="AU25" s="217">
        <v>0.0</v>
      </c>
      <c r="AV25" s="117"/>
      <c r="AW25" s="117"/>
      <c r="AX25" s="117"/>
      <c r="AY25" s="117"/>
      <c r="AZ25" s="117"/>
      <c r="BA25" s="117"/>
      <c r="BB25" s="182"/>
      <c r="BC25" s="2"/>
      <c r="BD25" s="2"/>
      <c r="BE25" s="46" t="s">
        <v>100</v>
      </c>
      <c r="BF25" s="117">
        <f t="shared" ref="BF25:BF26" si="54">O39</f>
        <v>1750</v>
      </c>
      <c r="BG25" s="117">
        <f>AB38</f>
        <v>2560</v>
      </c>
      <c r="BH25" s="117">
        <f t="shared" ref="BH25:BH26" si="55">AB39</f>
        <v>2674</v>
      </c>
      <c r="BI25" s="117">
        <f>AO38</f>
        <v>3520</v>
      </c>
      <c r="BJ25" s="117">
        <f t="shared" ref="BJ25:BJ26" si="56">AO39</f>
        <v>3206</v>
      </c>
      <c r="BK25" s="117">
        <f>BB38</f>
        <v>4600</v>
      </c>
      <c r="BL25" s="117"/>
      <c r="BM25" s="105"/>
      <c r="BN25" s="221" t="str">
        <f t="shared" ref="BN25:BO25" si="52">#REF!</f>
        <v>#REF!</v>
      </c>
      <c r="BO25" s="117" t="str">
        <f t="shared" si="52"/>
        <v>#REF!</v>
      </c>
      <c r="BP25" s="117">
        <f>BP34</f>
        <v>2600</v>
      </c>
      <c r="BQ25" s="117" t="str">
        <f t="shared" ref="BQ25:BQ26" si="58">#REF!</f>
        <v>#REF!</v>
      </c>
      <c r="BR25" s="117">
        <f>BR34</f>
        <v>3500</v>
      </c>
      <c r="BS25" s="117"/>
      <c r="BT25" s="117">
        <f>BT34</f>
        <v>4500</v>
      </c>
      <c r="BU25" s="117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4"/>
      <c r="DA25" s="223"/>
      <c r="DB25" s="224"/>
      <c r="DC25" s="225"/>
      <c r="DD25" s="225"/>
      <c r="DE25" s="226"/>
      <c r="DF25" s="226"/>
      <c r="DG25" s="226"/>
      <c r="DH25" s="226"/>
      <c r="DI25" s="105"/>
      <c r="DJ25" s="105"/>
      <c r="DK25" s="104"/>
      <c r="DL25" s="104"/>
    </row>
    <row r="26" ht="12.0" customHeight="1">
      <c r="A26" s="104"/>
      <c r="B26" s="113" t="s">
        <v>153</v>
      </c>
      <c r="C26" s="114">
        <f t="shared" ref="C26:F26" si="53">C27*C12</f>
        <v>104420.1392</v>
      </c>
      <c r="D26" s="114">
        <f t="shared" si="53"/>
        <v>95431.31808</v>
      </c>
      <c r="E26" s="114">
        <f t="shared" si="53"/>
        <v>88846.08137</v>
      </c>
      <c r="F26" s="114">
        <f t="shared" si="53"/>
        <v>2852.937136</v>
      </c>
      <c r="G26" s="114"/>
      <c r="H26" s="114"/>
      <c r="I26" s="114"/>
      <c r="J26" s="114"/>
      <c r="K26" s="114"/>
      <c r="L26" s="114"/>
      <c r="M26" s="114">
        <f>M27*M12</f>
        <v>26251.64751</v>
      </c>
      <c r="N26" s="114">
        <f>N27*N2</f>
        <v>33435</v>
      </c>
      <c r="O26" s="181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81"/>
      <c r="AC26" s="117">
        <v>0.0</v>
      </c>
      <c r="AD26" s="117">
        <v>0.0</v>
      </c>
      <c r="AE26" s="117">
        <v>0.0</v>
      </c>
      <c r="AF26" s="117">
        <v>0.0</v>
      </c>
      <c r="AG26" s="117">
        <v>0.0</v>
      </c>
      <c r="AH26" s="117">
        <v>0.0</v>
      </c>
      <c r="AI26" s="117">
        <v>0.0</v>
      </c>
      <c r="AJ26" s="117">
        <v>0.0</v>
      </c>
      <c r="AK26" s="117">
        <v>0.0</v>
      </c>
      <c r="AL26" s="117">
        <v>0.0</v>
      </c>
      <c r="AM26" s="117">
        <v>0.0</v>
      </c>
      <c r="AN26" s="117">
        <v>0.0</v>
      </c>
      <c r="AO26" s="73">
        <f>AO27*AO12</f>
        <v>0</v>
      </c>
      <c r="AP26" s="117">
        <v>0.0</v>
      </c>
      <c r="AQ26" s="117">
        <v>0.0</v>
      </c>
      <c r="AR26" s="117">
        <v>0.0</v>
      </c>
      <c r="AS26" s="117">
        <v>0.0</v>
      </c>
      <c r="AT26" s="117">
        <v>0.0</v>
      </c>
      <c r="AU26" s="117">
        <v>0.0</v>
      </c>
      <c r="AV26" s="117">
        <v>0.0</v>
      </c>
      <c r="AW26" s="117">
        <v>0.0</v>
      </c>
      <c r="AX26" s="117">
        <v>0.0</v>
      </c>
      <c r="AY26" s="117">
        <v>0.0</v>
      </c>
      <c r="AZ26" s="117">
        <v>0.0</v>
      </c>
      <c r="BA26" s="117">
        <v>0.0</v>
      </c>
      <c r="BB26" s="182"/>
      <c r="BC26" s="2"/>
      <c r="BD26" s="2"/>
      <c r="BE26" s="46" t="s">
        <v>102</v>
      </c>
      <c r="BF26" s="117">
        <f t="shared" si="54"/>
        <v>105</v>
      </c>
      <c r="BG26" s="117">
        <f>AB41</f>
        <v>390</v>
      </c>
      <c r="BH26" s="117">
        <f t="shared" si="55"/>
        <v>1204</v>
      </c>
      <c r="BI26" s="117">
        <f>AO41</f>
        <v>1420</v>
      </c>
      <c r="BJ26" s="117">
        <f t="shared" si="56"/>
        <v>1561</v>
      </c>
      <c r="BK26" s="117">
        <f>BB41</f>
        <v>2320</v>
      </c>
      <c r="BL26" s="117"/>
      <c r="BM26" s="105"/>
      <c r="BN26" s="221" t="str">
        <f t="shared" ref="BN26:BO26" si="57">#REF!</f>
        <v>#REF!</v>
      </c>
      <c r="BO26" s="117" t="str">
        <f t="shared" si="57"/>
        <v>#REF!</v>
      </c>
      <c r="BP26" s="117">
        <f>BP27*BP25</f>
        <v>390</v>
      </c>
      <c r="BQ26" s="117" t="str">
        <f t="shared" si="58"/>
        <v>#REF!</v>
      </c>
      <c r="BR26" s="117">
        <f>BR27*BR25</f>
        <v>2450</v>
      </c>
      <c r="BS26" s="117"/>
      <c r="BT26" s="117">
        <f>BT27*BT25</f>
        <v>3600</v>
      </c>
      <c r="BU26" s="117"/>
      <c r="BV26" s="105"/>
      <c r="BW26" s="105"/>
      <c r="BX26" s="105"/>
      <c r="BY26" s="105"/>
      <c r="BZ26" s="105"/>
      <c r="CA26" s="105"/>
      <c r="CB26" s="105"/>
      <c r="CC26" s="105"/>
      <c r="CD26" s="105"/>
      <c r="CE26" s="105"/>
      <c r="CF26" s="105"/>
      <c r="CG26" s="105"/>
      <c r="CH26" s="105"/>
      <c r="CI26" s="105"/>
      <c r="CJ26" s="105"/>
      <c r="CK26" s="105"/>
      <c r="CL26" s="105"/>
      <c r="CM26" s="105"/>
      <c r="CN26" s="105"/>
      <c r="CO26" s="105"/>
      <c r="CP26" s="105"/>
      <c r="CQ26" s="105"/>
      <c r="CR26" s="105"/>
      <c r="CS26" s="105"/>
      <c r="CT26" s="105"/>
      <c r="CU26" s="105"/>
      <c r="CV26" s="105"/>
      <c r="CW26" s="105"/>
      <c r="CX26" s="105"/>
      <c r="CY26" s="105"/>
      <c r="CZ26" s="104"/>
      <c r="DA26" s="105"/>
      <c r="DB26" s="105"/>
      <c r="DC26" s="105"/>
      <c r="DD26" s="105"/>
      <c r="DE26" s="105"/>
      <c r="DF26" s="105"/>
      <c r="DG26" s="105"/>
      <c r="DH26" s="105"/>
      <c r="DI26" s="105"/>
      <c r="DJ26" s="105"/>
      <c r="DK26" s="104"/>
      <c r="DL26" s="104"/>
    </row>
    <row r="27" ht="12.0" customHeight="1">
      <c r="A27" s="104"/>
      <c r="B27" s="113" t="s">
        <v>103</v>
      </c>
      <c r="C27" s="218">
        <v>0.133602085169762</v>
      </c>
      <c r="D27" s="219">
        <v>0.14065283248126764</v>
      </c>
      <c r="E27" s="219">
        <v>0.11119578332380771</v>
      </c>
      <c r="F27" s="219">
        <v>0.003073574611391344</v>
      </c>
      <c r="G27" s="114"/>
      <c r="H27" s="114"/>
      <c r="I27" s="114"/>
      <c r="J27" s="114"/>
      <c r="K27" s="114"/>
      <c r="L27" s="114"/>
      <c r="M27" s="219">
        <v>0.029467810289969237</v>
      </c>
      <c r="N27" s="219">
        <v>0.014874742522589055</v>
      </c>
      <c r="O27" s="220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81"/>
      <c r="AC27" s="217">
        <v>0.0</v>
      </c>
      <c r="AD27" s="217">
        <v>0.0</v>
      </c>
      <c r="AE27" s="217">
        <v>0.0</v>
      </c>
      <c r="AF27" s="217">
        <v>0.0</v>
      </c>
      <c r="AG27" s="217">
        <v>0.0</v>
      </c>
      <c r="AH27" s="217">
        <v>0.0</v>
      </c>
      <c r="AI27" s="217">
        <v>0.0</v>
      </c>
      <c r="AJ27" s="217">
        <v>0.0</v>
      </c>
      <c r="AK27" s="217">
        <v>0.0</v>
      </c>
      <c r="AL27" s="217">
        <v>0.0</v>
      </c>
      <c r="AM27" s="217">
        <v>0.0</v>
      </c>
      <c r="AN27" s="217">
        <v>0.0</v>
      </c>
      <c r="AO27" s="80">
        <f>AVERAGE(AC27:AN27)</f>
        <v>0</v>
      </c>
      <c r="AP27" s="217">
        <v>0.0</v>
      </c>
      <c r="AQ27" s="217">
        <v>0.0</v>
      </c>
      <c r="AR27" s="217">
        <v>0.0</v>
      </c>
      <c r="AS27" s="217">
        <v>0.0</v>
      </c>
      <c r="AT27" s="217">
        <v>0.0</v>
      </c>
      <c r="AU27" s="217">
        <v>0.0</v>
      </c>
      <c r="AV27" s="217">
        <v>0.0</v>
      </c>
      <c r="AW27" s="217">
        <v>0.0</v>
      </c>
      <c r="AX27" s="217">
        <v>0.0</v>
      </c>
      <c r="AY27" s="217">
        <v>0.0</v>
      </c>
      <c r="AZ27" s="217">
        <v>0.0</v>
      </c>
      <c r="BA27" s="217">
        <v>0.0</v>
      </c>
      <c r="BB27" s="182"/>
      <c r="BC27" s="2"/>
      <c r="BD27" s="2"/>
      <c r="BE27" s="51" t="s">
        <v>104</v>
      </c>
      <c r="BF27" s="212">
        <f>BF26/BF25</f>
        <v>0.06</v>
      </c>
      <c r="BG27" s="212">
        <v>0.15</v>
      </c>
      <c r="BH27" s="212">
        <f t="shared" ref="BH27:BK27" si="59">BH26/BH25</f>
        <v>0.4502617801</v>
      </c>
      <c r="BI27" s="212">
        <f t="shared" si="59"/>
        <v>0.4034090909</v>
      </c>
      <c r="BJ27" s="212">
        <f t="shared" si="59"/>
        <v>0.4868995633</v>
      </c>
      <c r="BK27" s="212">
        <f t="shared" si="59"/>
        <v>0.5043478261</v>
      </c>
      <c r="BL27" s="213"/>
      <c r="BM27" s="105"/>
      <c r="BN27" s="210" t="str">
        <f>#REF!</f>
        <v>#REF!</v>
      </c>
      <c r="BO27" s="212" t="str">
        <f>BO26/BO25</f>
        <v>#REF!</v>
      </c>
      <c r="BP27" s="212">
        <v>0.15</v>
      </c>
      <c r="BQ27" s="212" t="str">
        <f>BQ26/BQ25</f>
        <v>#REF!</v>
      </c>
      <c r="BR27" s="212">
        <v>0.7</v>
      </c>
      <c r="BS27" s="222"/>
      <c r="BT27" s="212">
        <v>0.8</v>
      </c>
      <c r="BU27" s="213"/>
      <c r="BV27" s="105"/>
      <c r="BW27" s="105"/>
      <c r="BX27" s="105"/>
      <c r="BY27" s="105"/>
      <c r="BZ27" s="105"/>
      <c r="CA27" s="105"/>
      <c r="CB27" s="105"/>
      <c r="CC27" s="105"/>
      <c r="CD27" s="105"/>
      <c r="CE27" s="105"/>
      <c r="CF27" s="105"/>
      <c r="CG27" s="105"/>
      <c r="CH27" s="105"/>
      <c r="CI27" s="105"/>
      <c r="CJ27" s="105"/>
      <c r="CK27" s="105"/>
      <c r="CL27" s="105"/>
      <c r="CM27" s="105"/>
      <c r="CN27" s="105"/>
      <c r="CO27" s="105"/>
      <c r="CP27" s="105"/>
      <c r="CQ27" s="105"/>
      <c r="CR27" s="105"/>
      <c r="CS27" s="105"/>
      <c r="CT27" s="105"/>
      <c r="CU27" s="105"/>
      <c r="CV27" s="105"/>
      <c r="CW27" s="105"/>
      <c r="CX27" s="105"/>
      <c r="CY27" s="105"/>
      <c r="CZ27" s="104"/>
      <c r="DA27" s="105"/>
      <c r="DB27" s="105"/>
      <c r="DC27" s="105"/>
      <c r="DD27" s="105"/>
      <c r="DE27" s="105"/>
      <c r="DF27" s="105"/>
      <c r="DG27" s="105"/>
      <c r="DH27" s="105"/>
      <c r="DI27" s="105"/>
      <c r="DJ27" s="105"/>
      <c r="DK27" s="104"/>
      <c r="DL27" s="104"/>
    </row>
    <row r="28" ht="12.0" customHeight="1">
      <c r="A28" s="104"/>
      <c r="B28" s="173" t="s">
        <v>154</v>
      </c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>
        <f t="shared" ref="P28:AA28" si="60">P31*P11</f>
        <v>1007190</v>
      </c>
      <c r="Q28" s="174">
        <f t="shared" si="60"/>
        <v>923818</v>
      </c>
      <c r="R28" s="174">
        <f t="shared" si="60"/>
        <v>1038524.8</v>
      </c>
      <c r="S28" s="174">
        <f t="shared" si="60"/>
        <v>1027026</v>
      </c>
      <c r="T28" s="174">
        <f t="shared" si="60"/>
        <v>1084231.2</v>
      </c>
      <c r="U28" s="174">
        <f t="shared" si="60"/>
        <v>1071714</v>
      </c>
      <c r="V28" s="174">
        <f t="shared" si="60"/>
        <v>1130880</v>
      </c>
      <c r="W28" s="174">
        <f t="shared" si="60"/>
        <v>1154557.8</v>
      </c>
      <c r="X28" s="174">
        <f t="shared" si="60"/>
        <v>1140456</v>
      </c>
      <c r="Y28" s="174">
        <f t="shared" si="60"/>
        <v>1212397.6</v>
      </c>
      <c r="Z28" s="174">
        <f t="shared" si="60"/>
        <v>1206576</v>
      </c>
      <c r="AA28" s="174">
        <f t="shared" si="60"/>
        <v>1289203.2</v>
      </c>
      <c r="AB28" s="174">
        <f t="shared" ref="AB28:AB29" si="65">SUM(P28:AA28)</f>
        <v>13286574.6</v>
      </c>
      <c r="AC28" s="174">
        <f t="shared" ref="AC28:AN28" si="61">AC31*AC11</f>
        <v>1311703</v>
      </c>
      <c r="AD28" s="174">
        <f t="shared" si="61"/>
        <v>1201235.1</v>
      </c>
      <c r="AE28" s="174">
        <f t="shared" si="61"/>
        <v>1256690.4</v>
      </c>
      <c r="AF28" s="174">
        <f t="shared" si="61"/>
        <v>1227951</v>
      </c>
      <c r="AG28" s="174">
        <f t="shared" si="61"/>
        <v>1241729.8</v>
      </c>
      <c r="AH28" s="174">
        <f t="shared" si="61"/>
        <v>1175625</v>
      </c>
      <c r="AI28" s="174">
        <f t="shared" si="61"/>
        <v>1188130.8</v>
      </c>
      <c r="AJ28" s="174">
        <f t="shared" si="61"/>
        <v>1231952.4</v>
      </c>
      <c r="AK28" s="174">
        <f t="shared" si="61"/>
        <v>1233024</v>
      </c>
      <c r="AL28" s="174">
        <f t="shared" si="61"/>
        <v>1345040.4</v>
      </c>
      <c r="AM28" s="174">
        <f t="shared" si="61"/>
        <v>1377826.8</v>
      </c>
      <c r="AN28" s="174">
        <f t="shared" si="61"/>
        <v>1515096.48</v>
      </c>
      <c r="AO28" s="174">
        <f t="shared" ref="AO28:AO29" si="67">SUM(AC28:AN28)</f>
        <v>15306005.18</v>
      </c>
      <c r="AP28" s="174">
        <f t="shared" ref="AP28:BA28" si="62">AP31*AP11</f>
        <v>1376529.027</v>
      </c>
      <c r="AQ28" s="174">
        <f t="shared" si="62"/>
        <v>1274231.892</v>
      </c>
      <c r="AR28" s="174">
        <f t="shared" si="62"/>
        <v>1429199.249</v>
      </c>
      <c r="AS28" s="174">
        <f t="shared" si="62"/>
        <v>1416789.639</v>
      </c>
      <c r="AT28" s="174">
        <f t="shared" si="62"/>
        <v>1466437.672</v>
      </c>
      <c r="AU28" s="174">
        <f t="shared" si="62"/>
        <v>1437322.823</v>
      </c>
      <c r="AV28" s="174">
        <f t="shared" si="62"/>
        <v>1520757.095</v>
      </c>
      <c r="AW28" s="174">
        <f t="shared" si="62"/>
        <v>1523178.806</v>
      </c>
      <c r="AX28" s="174">
        <f t="shared" si="62"/>
        <v>1476273.597</v>
      </c>
      <c r="AY28" s="174">
        <f t="shared" si="62"/>
        <v>1561595.229</v>
      </c>
      <c r="AZ28" s="174">
        <f t="shared" si="62"/>
        <v>1513450.78</v>
      </c>
      <c r="BA28" s="174">
        <f t="shared" si="62"/>
        <v>1600482.851</v>
      </c>
      <c r="BB28" s="174">
        <f>SUM(AP28:BA28)</f>
        <v>17596248.66</v>
      </c>
      <c r="BC28" s="2"/>
      <c r="BD28" s="2"/>
      <c r="BE28" s="223"/>
      <c r="BF28" s="224"/>
      <c r="BG28" s="225"/>
      <c r="BH28" s="225"/>
      <c r="BI28" s="226"/>
      <c r="BJ28" s="226"/>
      <c r="BK28" s="226"/>
      <c r="BL28" s="226"/>
      <c r="BM28" s="105"/>
      <c r="BN28" s="223"/>
      <c r="BO28" s="224"/>
      <c r="BP28" s="225"/>
      <c r="BQ28" s="225"/>
      <c r="BR28" s="226"/>
      <c r="BS28" s="226"/>
      <c r="BT28" s="226"/>
      <c r="BU28" s="226"/>
      <c r="BV28" s="105"/>
      <c r="BW28" s="105"/>
      <c r="BX28" s="105"/>
      <c r="BY28" s="105"/>
      <c r="BZ28" s="105"/>
      <c r="CA28" s="105"/>
      <c r="CB28" s="105"/>
      <c r="CC28" s="105"/>
      <c r="CD28" s="105"/>
      <c r="CE28" s="105"/>
      <c r="CF28" s="105"/>
      <c r="CG28" s="105"/>
      <c r="CH28" s="105"/>
      <c r="CI28" s="105"/>
      <c r="CJ28" s="105"/>
      <c r="CK28" s="105"/>
      <c r="CL28" s="105"/>
      <c r="CM28" s="105"/>
      <c r="CN28" s="105"/>
      <c r="CO28" s="105"/>
      <c r="CP28" s="105"/>
      <c r="CQ28" s="105"/>
      <c r="CR28" s="105"/>
      <c r="CS28" s="105"/>
      <c r="CT28" s="105"/>
      <c r="CU28" s="105"/>
      <c r="CV28" s="105"/>
      <c r="CW28" s="105"/>
      <c r="CX28" s="105"/>
      <c r="DJ28" s="105"/>
      <c r="DK28" s="104"/>
      <c r="DL28" s="104"/>
    </row>
    <row r="29" ht="12.0" customHeight="1">
      <c r="A29" s="104"/>
      <c r="B29" s="51" t="s">
        <v>155</v>
      </c>
      <c r="C29" s="110">
        <f t="shared" ref="C29:N29" si="63">C32*C12</f>
        <v>677155.5308</v>
      </c>
      <c r="D29" s="110">
        <f t="shared" si="63"/>
        <v>583057.1019</v>
      </c>
      <c r="E29" s="110">
        <f t="shared" si="63"/>
        <v>710159.7686</v>
      </c>
      <c r="F29" s="110">
        <f t="shared" si="63"/>
        <v>925382.2385</v>
      </c>
      <c r="G29" s="110">
        <f t="shared" si="63"/>
        <v>1016889.604</v>
      </c>
      <c r="H29" s="110">
        <f t="shared" si="63"/>
        <v>1104921.27</v>
      </c>
      <c r="I29" s="110">
        <f t="shared" si="63"/>
        <v>1065981.29</v>
      </c>
      <c r="J29" s="110">
        <f t="shared" si="63"/>
        <v>990562.88</v>
      </c>
      <c r="K29" s="110">
        <f t="shared" si="63"/>
        <v>932318.52</v>
      </c>
      <c r="L29" s="110">
        <f t="shared" si="63"/>
        <v>944946.71</v>
      </c>
      <c r="M29" s="110">
        <f t="shared" si="63"/>
        <v>880566.4896</v>
      </c>
      <c r="N29" s="110">
        <f t="shared" si="63"/>
        <v>847535.1475</v>
      </c>
      <c r="O29" s="110">
        <f>SUM(C29:N29)</f>
        <v>10679476.55</v>
      </c>
      <c r="P29" s="110">
        <f t="shared" ref="P29:AA29" si="64">P32*P12</f>
        <v>855054.41</v>
      </c>
      <c r="Q29" s="110">
        <f t="shared" si="64"/>
        <v>777609.47</v>
      </c>
      <c r="R29" s="110">
        <f t="shared" si="64"/>
        <v>872470.4</v>
      </c>
      <c r="S29" s="110">
        <f t="shared" si="64"/>
        <v>942140.03</v>
      </c>
      <c r="T29" s="110">
        <f t="shared" si="64"/>
        <v>1017080.92</v>
      </c>
      <c r="U29" s="110">
        <f t="shared" si="64"/>
        <v>1055920.96</v>
      </c>
      <c r="V29" s="110">
        <f t="shared" si="64"/>
        <v>1183608.62</v>
      </c>
      <c r="W29" s="110">
        <f t="shared" si="64"/>
        <v>1271031.4</v>
      </c>
      <c r="X29" s="110">
        <f t="shared" si="64"/>
        <v>1041210.858</v>
      </c>
      <c r="Y29" s="110">
        <f t="shared" si="64"/>
        <v>1216979.876</v>
      </c>
      <c r="Z29" s="110">
        <f t="shared" si="64"/>
        <v>1260040.5</v>
      </c>
      <c r="AA29" s="110">
        <f t="shared" si="64"/>
        <v>1420756.754</v>
      </c>
      <c r="AB29" s="110">
        <f t="shared" si="65"/>
        <v>12913904.2</v>
      </c>
      <c r="AC29" s="110">
        <f t="shared" ref="AC29:AN29" si="66">AC32*AC12</f>
        <v>1620652</v>
      </c>
      <c r="AD29" s="110">
        <f t="shared" si="66"/>
        <v>1172328.59</v>
      </c>
      <c r="AE29" s="110">
        <f t="shared" si="66"/>
        <v>1331219.33</v>
      </c>
      <c r="AF29" s="110">
        <f t="shared" si="66"/>
        <v>1439682.3</v>
      </c>
      <c r="AG29" s="110">
        <f t="shared" si="66"/>
        <v>1584486.24</v>
      </c>
      <c r="AH29" s="110">
        <f t="shared" si="66"/>
        <v>1838177.26</v>
      </c>
      <c r="AI29" s="110">
        <f t="shared" si="66"/>
        <v>1845023.9</v>
      </c>
      <c r="AJ29" s="110">
        <f t="shared" si="66"/>
        <v>1712476.52</v>
      </c>
      <c r="AK29" s="110">
        <f t="shared" si="66"/>
        <v>1682012.69</v>
      </c>
      <c r="AL29" s="110">
        <f t="shared" si="66"/>
        <v>1706404.18</v>
      </c>
      <c r="AM29" s="110">
        <f t="shared" si="66"/>
        <v>933331.16</v>
      </c>
      <c r="AN29" s="110">
        <f t="shared" si="66"/>
        <v>1615753.01</v>
      </c>
      <c r="AO29" s="110">
        <f t="shared" si="67"/>
        <v>18481547.18</v>
      </c>
      <c r="AP29" s="110">
        <f t="shared" ref="AP29:AR29" si="68">AP32*AP12</f>
        <v>1589440.64</v>
      </c>
      <c r="AQ29" s="110">
        <f t="shared" si="68"/>
        <v>1455345.94</v>
      </c>
      <c r="AR29" s="110">
        <f t="shared" si="68"/>
        <v>1526044.72</v>
      </c>
      <c r="AS29" s="110">
        <v>1566470.04</v>
      </c>
      <c r="AT29" s="110">
        <v>1589440.6400000001</v>
      </c>
      <c r="AU29" s="110">
        <f t="shared" ref="AU29:BB29" si="69">AU32*AU12</f>
        <v>1995696.31</v>
      </c>
      <c r="AV29" s="110">
        <f t="shared" si="69"/>
        <v>0</v>
      </c>
      <c r="AW29" s="110">
        <f t="shared" si="69"/>
        <v>0</v>
      </c>
      <c r="AX29" s="110">
        <f t="shared" si="69"/>
        <v>0</v>
      </c>
      <c r="AY29" s="110">
        <f t="shared" si="69"/>
        <v>0</v>
      </c>
      <c r="AZ29" s="110">
        <f t="shared" si="69"/>
        <v>0</v>
      </c>
      <c r="BA29" s="110">
        <f t="shared" si="69"/>
        <v>0</v>
      </c>
      <c r="BB29" s="110">
        <f t="shared" si="69"/>
        <v>9722438.29</v>
      </c>
      <c r="BC29" s="16">
        <f>SUM(AC29:AE29)</f>
        <v>4124199.92</v>
      </c>
      <c r="BD29" s="16">
        <f>SUM(AF29:AH29)</f>
        <v>4862345.8</v>
      </c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  <c r="CD29" s="105"/>
      <c r="CE29" s="105"/>
      <c r="CF29" s="105"/>
      <c r="CG29" s="105"/>
      <c r="CH29" s="105"/>
      <c r="CI29" s="105"/>
      <c r="CJ29" s="105"/>
      <c r="CK29" s="105"/>
      <c r="CL29" s="105"/>
      <c r="CM29" s="105"/>
      <c r="CN29" s="105"/>
      <c r="CO29" s="105"/>
      <c r="CP29" s="105"/>
      <c r="CQ29" s="105"/>
      <c r="CR29" s="105"/>
      <c r="CS29" s="105"/>
      <c r="CT29" s="105"/>
      <c r="CU29" s="105"/>
      <c r="CV29" s="105"/>
      <c r="CW29" s="105"/>
      <c r="CX29" s="105"/>
      <c r="CY29" s="105"/>
      <c r="CZ29" s="104"/>
      <c r="DA29" s="117"/>
      <c r="DB29" s="193" t="s">
        <v>55</v>
      </c>
      <c r="DC29" s="193" t="s">
        <v>56</v>
      </c>
      <c r="DD29" s="193"/>
      <c r="DE29" s="193" t="s">
        <v>57</v>
      </c>
      <c r="DF29" s="193"/>
      <c r="DG29" s="193" t="s">
        <v>58</v>
      </c>
      <c r="DH29" s="193"/>
      <c r="DI29" s="105"/>
      <c r="DJ29" s="105"/>
      <c r="DK29" s="104"/>
      <c r="DL29" s="104"/>
    </row>
    <row r="30" ht="12.0" customHeight="1">
      <c r="A30" s="104"/>
      <c r="B30" s="227" t="s">
        <v>72</v>
      </c>
      <c r="C30" s="114">
        <f t="shared" ref="C30:BB30" si="70">C29/C7</f>
        <v>21843.7268</v>
      </c>
      <c r="D30" s="114">
        <f t="shared" si="70"/>
        <v>20823.46793</v>
      </c>
      <c r="E30" s="114">
        <f t="shared" si="70"/>
        <v>22908.37963</v>
      </c>
      <c r="F30" s="114">
        <f t="shared" si="70"/>
        <v>30846.07462</v>
      </c>
      <c r="G30" s="114">
        <f t="shared" si="70"/>
        <v>32802.89044</v>
      </c>
      <c r="H30" s="114">
        <f t="shared" si="70"/>
        <v>36830.709</v>
      </c>
      <c r="I30" s="114">
        <f t="shared" si="70"/>
        <v>34386.49323</v>
      </c>
      <c r="J30" s="114">
        <f t="shared" si="70"/>
        <v>31953.64129</v>
      </c>
      <c r="K30" s="114">
        <f t="shared" si="70"/>
        <v>31077.284</v>
      </c>
      <c r="L30" s="114">
        <f t="shared" si="70"/>
        <v>30482.15194</v>
      </c>
      <c r="M30" s="114">
        <f t="shared" si="70"/>
        <v>29352.21632</v>
      </c>
      <c r="N30" s="114">
        <f t="shared" si="70"/>
        <v>27339.84347</v>
      </c>
      <c r="O30" s="181">
        <f t="shared" si="70"/>
        <v>29258.83986</v>
      </c>
      <c r="P30" s="114">
        <f t="shared" si="70"/>
        <v>27582.40032</v>
      </c>
      <c r="Q30" s="114">
        <f t="shared" si="70"/>
        <v>27771.76679</v>
      </c>
      <c r="R30" s="114">
        <f t="shared" si="70"/>
        <v>28144.20645</v>
      </c>
      <c r="S30" s="114">
        <f t="shared" si="70"/>
        <v>31404.66767</v>
      </c>
      <c r="T30" s="114">
        <f t="shared" si="70"/>
        <v>32809.06194</v>
      </c>
      <c r="U30" s="114">
        <f t="shared" si="70"/>
        <v>35197.36533</v>
      </c>
      <c r="V30" s="114">
        <f t="shared" si="70"/>
        <v>38180.92323</v>
      </c>
      <c r="W30" s="114">
        <f t="shared" si="70"/>
        <v>41001.0129</v>
      </c>
      <c r="X30" s="114">
        <f t="shared" si="70"/>
        <v>34707.0286</v>
      </c>
      <c r="Y30" s="114">
        <f t="shared" si="70"/>
        <v>39257.41536</v>
      </c>
      <c r="Z30" s="114">
        <f t="shared" si="70"/>
        <v>42001.35</v>
      </c>
      <c r="AA30" s="114">
        <f t="shared" si="70"/>
        <v>45830.86303</v>
      </c>
      <c r="AB30" s="181">
        <f t="shared" si="70"/>
        <v>35380.55945</v>
      </c>
      <c r="AC30" s="114">
        <f t="shared" si="70"/>
        <v>52279.09677</v>
      </c>
      <c r="AD30" s="114">
        <f t="shared" si="70"/>
        <v>40425.12379</v>
      </c>
      <c r="AE30" s="114">
        <f t="shared" si="70"/>
        <v>42942.55903</v>
      </c>
      <c r="AF30" s="114">
        <f t="shared" si="70"/>
        <v>47989.41</v>
      </c>
      <c r="AG30" s="114">
        <f t="shared" si="70"/>
        <v>51112.45935</v>
      </c>
      <c r="AH30" s="114">
        <f t="shared" si="70"/>
        <v>61272.57533</v>
      </c>
      <c r="AI30" s="114">
        <f t="shared" si="70"/>
        <v>59516.9</v>
      </c>
      <c r="AJ30" s="114">
        <f t="shared" si="70"/>
        <v>55241.17806</v>
      </c>
      <c r="AK30" s="114">
        <f t="shared" si="70"/>
        <v>56067.08967</v>
      </c>
      <c r="AL30" s="114">
        <f t="shared" si="70"/>
        <v>55045.29613</v>
      </c>
      <c r="AM30" s="114">
        <f t="shared" si="70"/>
        <v>31111.03867</v>
      </c>
      <c r="AN30" s="114">
        <f t="shared" si="70"/>
        <v>52121.06484</v>
      </c>
      <c r="AO30" s="181">
        <f t="shared" si="70"/>
        <v>50496.03055</v>
      </c>
      <c r="AP30" s="114">
        <f t="shared" si="70"/>
        <v>51272.27871</v>
      </c>
      <c r="AQ30" s="114">
        <f t="shared" si="70"/>
        <v>51976.64071</v>
      </c>
      <c r="AR30" s="114">
        <f t="shared" si="70"/>
        <v>49227.24903</v>
      </c>
      <c r="AS30" s="114">
        <f t="shared" si="70"/>
        <v>52215.668</v>
      </c>
      <c r="AT30" s="114">
        <f t="shared" si="70"/>
        <v>51272.27871</v>
      </c>
      <c r="AU30" s="114">
        <f t="shared" si="70"/>
        <v>66523.21033</v>
      </c>
      <c r="AV30" s="114">
        <f t="shared" si="70"/>
        <v>0</v>
      </c>
      <c r="AW30" s="114">
        <f t="shared" si="70"/>
        <v>0</v>
      </c>
      <c r="AX30" s="114">
        <f t="shared" si="70"/>
        <v>0</v>
      </c>
      <c r="AY30" s="114">
        <f t="shared" si="70"/>
        <v>0</v>
      </c>
      <c r="AZ30" s="114">
        <f t="shared" si="70"/>
        <v>0</v>
      </c>
      <c r="BA30" s="114">
        <f t="shared" si="70"/>
        <v>0</v>
      </c>
      <c r="BB30" s="181">
        <f t="shared" si="70"/>
        <v>53715.12867</v>
      </c>
      <c r="BC30" s="2"/>
      <c r="BD30" s="2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4"/>
      <c r="DA30" s="199" t="s">
        <v>162</v>
      </c>
      <c r="DB30" s="200" t="s">
        <v>84</v>
      </c>
      <c r="DC30" s="201" t="s">
        <v>62</v>
      </c>
      <c r="DD30" s="202" t="s">
        <v>63</v>
      </c>
      <c r="DE30" s="203" t="s">
        <v>62</v>
      </c>
      <c r="DF30" s="200" t="s">
        <v>63</v>
      </c>
      <c r="DG30" s="203" t="s">
        <v>62</v>
      </c>
      <c r="DH30" s="200" t="s">
        <v>63</v>
      </c>
      <c r="DI30" s="105"/>
      <c r="DJ30" s="105"/>
      <c r="DK30" s="104"/>
      <c r="DL30" s="104"/>
    </row>
    <row r="31" ht="12.0" customHeight="1">
      <c r="A31" s="204"/>
      <c r="B31" s="173" t="s">
        <v>108</v>
      </c>
      <c r="C31" s="228"/>
      <c r="D31" s="228"/>
      <c r="E31" s="228"/>
      <c r="F31" s="228"/>
      <c r="G31" s="228"/>
      <c r="H31" s="228"/>
      <c r="I31" s="228"/>
      <c r="J31" s="228"/>
      <c r="K31" s="228"/>
      <c r="L31" s="228"/>
      <c r="M31" s="228"/>
      <c r="N31" s="228"/>
      <c r="O31" s="228"/>
      <c r="P31" s="229">
        <v>0.75</v>
      </c>
      <c r="Q31" s="229">
        <f t="shared" ref="Q31:R31" si="71">P31+0.5%</f>
        <v>0.755</v>
      </c>
      <c r="R31" s="229">
        <f t="shared" si="71"/>
        <v>0.76</v>
      </c>
      <c r="S31" s="229">
        <f t="shared" ref="S31:Z31" si="72">R31+1%</f>
        <v>0.77</v>
      </c>
      <c r="T31" s="229">
        <f t="shared" si="72"/>
        <v>0.78</v>
      </c>
      <c r="U31" s="229">
        <f t="shared" si="72"/>
        <v>0.79</v>
      </c>
      <c r="V31" s="229">
        <f t="shared" si="72"/>
        <v>0.8</v>
      </c>
      <c r="W31" s="229">
        <f t="shared" si="72"/>
        <v>0.81</v>
      </c>
      <c r="X31" s="229">
        <f t="shared" si="72"/>
        <v>0.82</v>
      </c>
      <c r="Y31" s="229">
        <f t="shared" si="72"/>
        <v>0.83</v>
      </c>
      <c r="Z31" s="229">
        <f t="shared" si="72"/>
        <v>0.84</v>
      </c>
      <c r="AA31" s="229">
        <f>Z31+1.5%</f>
        <v>0.855</v>
      </c>
      <c r="AB31" s="88">
        <f t="shared" ref="AB31:AB32" si="78">AB28/AB11</f>
        <v>0.798079706</v>
      </c>
      <c r="AC31" s="229">
        <f>AA31-0.5%</f>
        <v>0.85</v>
      </c>
      <c r="AD31" s="229">
        <f t="shared" ref="AD31:AI31" si="73">AC31-0.5%</f>
        <v>0.845</v>
      </c>
      <c r="AE31" s="229">
        <f t="shared" si="73"/>
        <v>0.84</v>
      </c>
      <c r="AF31" s="229">
        <f t="shared" si="73"/>
        <v>0.835</v>
      </c>
      <c r="AG31" s="229">
        <f t="shared" si="73"/>
        <v>0.83</v>
      </c>
      <c r="AH31" s="229">
        <f t="shared" si="73"/>
        <v>0.825</v>
      </c>
      <c r="AI31" s="229">
        <f t="shared" si="73"/>
        <v>0.82</v>
      </c>
      <c r="AJ31" s="229">
        <f>AI31+1%</f>
        <v>0.83</v>
      </c>
      <c r="AK31" s="229">
        <f>AJ31+1.5%</f>
        <v>0.845</v>
      </c>
      <c r="AL31" s="229">
        <f>AK31+2%</f>
        <v>0.865</v>
      </c>
      <c r="AM31" s="229">
        <f>AL31+2.5%</f>
        <v>0.89</v>
      </c>
      <c r="AN31" s="229">
        <f>AM31+3%</f>
        <v>0.92</v>
      </c>
      <c r="AO31" s="88">
        <f t="shared" ref="AO31:AO32" si="80">AO28/AO11</f>
        <v>0.8505782096</v>
      </c>
      <c r="AP31" s="229">
        <f t="shared" ref="AP31:AQ31" si="74">AO31+1.5%</f>
        <v>0.8655782096</v>
      </c>
      <c r="AQ31" s="229">
        <f t="shared" si="74"/>
        <v>0.8805782096</v>
      </c>
      <c r="AR31" s="229">
        <f>AQ31+0.5%</f>
        <v>0.8855782096</v>
      </c>
      <c r="AS31" s="229">
        <f>AR31+1.5%</f>
        <v>0.9005782096</v>
      </c>
      <c r="AT31" s="229">
        <f>AS31-0.5%</f>
        <v>0.8955782096</v>
      </c>
      <c r="AU31" s="229">
        <f>AT31+0.5%</f>
        <v>0.9005782096</v>
      </c>
      <c r="AV31" s="229">
        <f>AU31+1.5%</f>
        <v>0.9155782096</v>
      </c>
      <c r="AW31" s="229">
        <f t="shared" ref="AW31:AX31" si="75">AV31-0.5%</f>
        <v>0.9105782096</v>
      </c>
      <c r="AX31" s="229">
        <f t="shared" si="75"/>
        <v>0.9055782096</v>
      </c>
      <c r="AY31" s="229">
        <f>AX31+1.5%</f>
        <v>0.9205782096</v>
      </c>
      <c r="AZ31" s="229">
        <f>AY31-0.5%</f>
        <v>0.9155782096</v>
      </c>
      <c r="BA31" s="229">
        <f>AZ31+1.5%</f>
        <v>0.9305782096</v>
      </c>
      <c r="BB31" s="229">
        <f>BB28/BB11</f>
        <v>0.9027902505</v>
      </c>
      <c r="BC31" s="66">
        <f>AVERAGE(AC31:AE31)</f>
        <v>0.845</v>
      </c>
      <c r="BD31" s="66">
        <f>AVERAGE(AF31:AH31)</f>
        <v>0.83</v>
      </c>
      <c r="BM31" s="105"/>
      <c r="BV31" s="105"/>
      <c r="BW31" s="105"/>
      <c r="BX31" s="105"/>
      <c r="BY31" s="105"/>
      <c r="BZ31" s="105"/>
      <c r="CA31" s="105"/>
      <c r="CB31" s="105"/>
      <c r="CC31" s="105"/>
      <c r="CD31" s="105"/>
      <c r="CE31" s="105"/>
      <c r="CF31" s="105"/>
      <c r="CG31" s="105"/>
      <c r="CH31" s="105"/>
      <c r="CI31" s="105"/>
      <c r="CJ31" s="105"/>
      <c r="CK31" s="105"/>
      <c r="CL31" s="105"/>
      <c r="CM31" s="105"/>
      <c r="CN31" s="105"/>
      <c r="CO31" s="105"/>
      <c r="CP31" s="105"/>
      <c r="CQ31" s="105"/>
      <c r="CR31" s="105"/>
      <c r="CS31" s="105"/>
      <c r="CT31" s="105"/>
      <c r="CU31" s="105"/>
      <c r="CV31" s="105"/>
      <c r="CW31" s="105"/>
      <c r="CX31" s="105"/>
      <c r="CY31" s="105"/>
      <c r="CZ31" s="204"/>
      <c r="DA31" s="221" t="str">
        <f>B39</f>
        <v>Total Farmers - Actual</v>
      </c>
      <c r="DB31" s="117">
        <f>DB22</f>
        <v>1750</v>
      </c>
      <c r="DC31" s="117">
        <v>2600.0</v>
      </c>
      <c r="DD31" s="117">
        <f>DD22</f>
        <v>2674</v>
      </c>
      <c r="DE31" s="117">
        <v>3500.0</v>
      </c>
      <c r="DF31" s="117"/>
      <c r="DG31" s="117">
        <v>4500.0</v>
      </c>
      <c r="DH31" s="117"/>
      <c r="DI31" s="209"/>
      <c r="DJ31" s="209"/>
      <c r="DK31" s="204"/>
      <c r="DL31" s="204"/>
    </row>
    <row r="32" ht="12.0" customHeight="1">
      <c r="A32" s="204"/>
      <c r="B32" s="68" t="s">
        <v>109</v>
      </c>
      <c r="C32" s="121">
        <f t="shared" ref="C32:N32" si="76">C4</f>
        <v>0.8663979148</v>
      </c>
      <c r="D32" s="121">
        <f t="shared" si="76"/>
        <v>0.8593471675</v>
      </c>
      <c r="E32" s="121">
        <f t="shared" si="76"/>
        <v>0.8888042167</v>
      </c>
      <c r="F32" s="121">
        <f t="shared" si="76"/>
        <v>0.9969484845</v>
      </c>
      <c r="G32" s="121">
        <f t="shared" si="76"/>
        <v>0.9573585502</v>
      </c>
      <c r="H32" s="121">
        <f t="shared" si="76"/>
        <v>1</v>
      </c>
      <c r="I32" s="121">
        <f t="shared" si="76"/>
        <v>1</v>
      </c>
      <c r="J32" s="121">
        <f t="shared" si="76"/>
        <v>1</v>
      </c>
      <c r="K32" s="121">
        <f t="shared" si="76"/>
        <v>1</v>
      </c>
      <c r="L32" s="121">
        <f t="shared" si="76"/>
        <v>1</v>
      </c>
      <c r="M32" s="121">
        <f t="shared" si="76"/>
        <v>0.988447154</v>
      </c>
      <c r="N32" s="121">
        <f t="shared" si="76"/>
        <v>0.9851252575</v>
      </c>
      <c r="O32" s="121">
        <f>O29/O12</f>
        <v>0.9673974539</v>
      </c>
      <c r="P32" s="121">
        <f t="shared" ref="P32:AA32" si="77">P4</f>
        <v>1</v>
      </c>
      <c r="Q32" s="121">
        <f t="shared" si="77"/>
        <v>1</v>
      </c>
      <c r="R32" s="121">
        <f t="shared" si="77"/>
        <v>1</v>
      </c>
      <c r="S32" s="121">
        <f t="shared" si="77"/>
        <v>1</v>
      </c>
      <c r="T32" s="121">
        <f t="shared" si="77"/>
        <v>1</v>
      </c>
      <c r="U32" s="121">
        <f t="shared" si="77"/>
        <v>1</v>
      </c>
      <c r="V32" s="121">
        <f t="shared" si="77"/>
        <v>1</v>
      </c>
      <c r="W32" s="121">
        <f t="shared" si="77"/>
        <v>1</v>
      </c>
      <c r="X32" s="121">
        <f t="shared" si="77"/>
        <v>0.8730029609</v>
      </c>
      <c r="Y32" s="121">
        <f t="shared" si="77"/>
        <v>0.9161036102</v>
      </c>
      <c r="Z32" s="121">
        <f t="shared" si="77"/>
        <v>0.9145024055</v>
      </c>
      <c r="AA32" s="121">
        <f t="shared" si="77"/>
        <v>0.9334266854</v>
      </c>
      <c r="AB32" s="121">
        <f t="shared" si="78"/>
        <v>0.9640152812</v>
      </c>
      <c r="AC32" s="121">
        <f t="shared" ref="AC32:AN32" si="79">AC4</f>
        <v>0.923988611</v>
      </c>
      <c r="AD32" s="121">
        <f t="shared" si="79"/>
        <v>0.90193767</v>
      </c>
      <c r="AE32" s="230">
        <f t="shared" si="79"/>
        <v>0.9227277791</v>
      </c>
      <c r="AF32" s="121">
        <f t="shared" si="79"/>
        <v>0.9551750801</v>
      </c>
      <c r="AG32" s="121">
        <f t="shared" si="79"/>
        <v>0.9298217389</v>
      </c>
      <c r="AH32" s="121">
        <f t="shared" si="79"/>
        <v>0.9249022325</v>
      </c>
      <c r="AI32" s="121">
        <f t="shared" si="79"/>
        <v>0.942159047</v>
      </c>
      <c r="AJ32" s="121">
        <f t="shared" si="79"/>
        <v>0.9634049237</v>
      </c>
      <c r="AK32" s="121">
        <f t="shared" si="79"/>
        <v>0.9847567537</v>
      </c>
      <c r="AL32" s="121">
        <f t="shared" si="79"/>
        <v>0.9787386246</v>
      </c>
      <c r="AM32" s="121">
        <f t="shared" si="79"/>
        <v>0.5363227867</v>
      </c>
      <c r="AN32" s="121">
        <f t="shared" si="79"/>
        <v>0.9732198114</v>
      </c>
      <c r="AO32" s="121">
        <f t="shared" si="80"/>
        <v>0.9111837904</v>
      </c>
      <c r="AP32" s="121">
        <f t="shared" ref="AP32:BB32" si="81">AP4</f>
        <v>0.9754324646</v>
      </c>
      <c r="AQ32" s="121">
        <f t="shared" si="81"/>
        <v>0.9774607737</v>
      </c>
      <c r="AR32" s="121">
        <f t="shared" si="81"/>
        <v>0.9740523256</v>
      </c>
      <c r="AS32" s="121">
        <f t="shared" si="81"/>
        <v>0.9745363131</v>
      </c>
      <c r="AT32" s="121">
        <f t="shared" si="81"/>
        <v>0.9754324646</v>
      </c>
      <c r="AU32" s="121">
        <f t="shared" si="81"/>
        <v>0.9770459527</v>
      </c>
      <c r="AV32" s="121">
        <f t="shared" si="81"/>
        <v>0</v>
      </c>
      <c r="AW32" s="121">
        <f t="shared" si="81"/>
        <v>0</v>
      </c>
      <c r="AX32" s="121">
        <f t="shared" si="81"/>
        <v>0</v>
      </c>
      <c r="AY32" s="121">
        <f t="shared" si="81"/>
        <v>0</v>
      </c>
      <c r="AZ32" s="121">
        <f t="shared" si="81"/>
        <v>0</v>
      </c>
      <c r="BA32" s="121">
        <f t="shared" si="81"/>
        <v>0</v>
      </c>
      <c r="BB32" s="121">
        <f t="shared" si="81"/>
        <v>0.975704721</v>
      </c>
      <c r="BC32" s="66">
        <f t="shared" ref="BC32:BD32" si="82">BC29/BC12</f>
        <v>0.9172098225</v>
      </c>
      <c r="BD32" s="66">
        <f t="shared" si="82"/>
        <v>0.9352916157</v>
      </c>
      <c r="BE32" s="117"/>
      <c r="BF32" s="193" t="s">
        <v>55</v>
      </c>
      <c r="BG32" s="193" t="s">
        <v>56</v>
      </c>
      <c r="BH32" s="193"/>
      <c r="BI32" s="193" t="s">
        <v>57</v>
      </c>
      <c r="BJ32" s="193"/>
      <c r="BK32" s="193" t="s">
        <v>58</v>
      </c>
      <c r="BL32" s="193"/>
      <c r="BM32" s="105"/>
      <c r="BN32" s="117"/>
      <c r="BO32" s="193" t="s">
        <v>55</v>
      </c>
      <c r="BP32" s="193" t="s">
        <v>56</v>
      </c>
      <c r="BQ32" s="193"/>
      <c r="BR32" s="193" t="s">
        <v>57</v>
      </c>
      <c r="BS32" s="193"/>
      <c r="BT32" s="193" t="s">
        <v>58</v>
      </c>
      <c r="BU32" s="193"/>
      <c r="BV32" s="105"/>
      <c r="BW32" s="105"/>
      <c r="BX32" s="105"/>
      <c r="BY32" s="105"/>
      <c r="BZ32" s="105"/>
      <c r="CA32" s="105"/>
      <c r="CB32" s="105"/>
      <c r="CC32" s="105"/>
      <c r="CD32" s="105"/>
      <c r="CE32" s="105"/>
      <c r="CF32" s="105"/>
      <c r="CG32" s="105"/>
      <c r="CH32" s="105"/>
      <c r="CI32" s="105"/>
      <c r="CJ32" s="105"/>
      <c r="CK32" s="105"/>
      <c r="CL32" s="105"/>
      <c r="CM32" s="105"/>
      <c r="CN32" s="105"/>
      <c r="CO32" s="105"/>
      <c r="CP32" s="105"/>
      <c r="CQ32" s="105"/>
      <c r="CR32" s="105"/>
      <c r="CS32" s="105"/>
      <c r="CT32" s="105"/>
      <c r="CU32" s="105"/>
      <c r="CV32" s="105"/>
      <c r="CW32" s="105"/>
      <c r="CX32" s="105"/>
      <c r="CY32" s="105"/>
      <c r="CZ32" s="231"/>
      <c r="DA32" s="221" t="str">
        <f>B45</f>
        <v>Functional AW Farm - Actual</v>
      </c>
      <c r="DB32" s="232">
        <f>N45</f>
        <v>7</v>
      </c>
      <c r="DC32" s="232">
        <v>12.0</v>
      </c>
      <c r="DD32" s="232">
        <f>AA45</f>
        <v>12</v>
      </c>
      <c r="DE32" s="232">
        <v>50.0</v>
      </c>
      <c r="DF32" s="232"/>
      <c r="DG32" s="232">
        <v>100.0</v>
      </c>
      <c r="DH32" s="117"/>
      <c r="DI32" s="209"/>
      <c r="DJ32" s="209"/>
      <c r="DK32" s="204"/>
      <c r="DL32" s="204"/>
    </row>
    <row r="33" ht="11.25" customHeight="1">
      <c r="A33" s="104"/>
      <c r="B33" s="113" t="s">
        <v>110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81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81"/>
      <c r="AC33" s="117"/>
      <c r="AD33" s="117"/>
      <c r="AE33" s="117"/>
      <c r="AF33" s="117"/>
      <c r="AG33" s="117"/>
      <c r="AH33" s="117">
        <v>149251.45999999996</v>
      </c>
      <c r="AI33" s="117">
        <v>113269.56</v>
      </c>
      <c r="AJ33" s="117">
        <v>65048.67</v>
      </c>
      <c r="AK33" s="117">
        <v>26036.210000000003</v>
      </c>
      <c r="AL33" s="117">
        <v>37068.63</v>
      </c>
      <c r="AM33" s="117">
        <v>59308.35</v>
      </c>
      <c r="AN33" s="117">
        <v>44460.840000000004</v>
      </c>
      <c r="AO33" s="182"/>
      <c r="AP33" s="117">
        <v>40032.130000000005</v>
      </c>
      <c r="AQ33" s="117">
        <v>33558.76</v>
      </c>
      <c r="AR33" s="117">
        <v>40652.14002490834</v>
      </c>
      <c r="AS33" s="117">
        <v>40930.34</v>
      </c>
      <c r="AT33" s="117">
        <v>40032.130000000005</v>
      </c>
      <c r="AU33" s="117">
        <v>46885.52</v>
      </c>
      <c r="AV33" s="117"/>
      <c r="AW33" s="117"/>
      <c r="AX33" s="117"/>
      <c r="AY33" s="117"/>
      <c r="AZ33" s="117"/>
      <c r="BA33" s="117"/>
      <c r="BB33" s="182"/>
      <c r="BC33" s="105"/>
      <c r="BD33" s="105"/>
      <c r="BE33" s="199" t="s">
        <v>162</v>
      </c>
      <c r="BF33" s="200" t="s">
        <v>84</v>
      </c>
      <c r="BG33" s="201" t="s">
        <v>62</v>
      </c>
      <c r="BH33" s="202" t="s">
        <v>63</v>
      </c>
      <c r="BI33" s="203" t="s">
        <v>62</v>
      </c>
      <c r="BJ33" s="200" t="s">
        <v>63</v>
      </c>
      <c r="BK33" s="203" t="s">
        <v>62</v>
      </c>
      <c r="BL33" s="200" t="s">
        <v>63</v>
      </c>
      <c r="BM33" s="105"/>
      <c r="BN33" s="199" t="s">
        <v>162</v>
      </c>
      <c r="BO33" s="200" t="s">
        <v>84</v>
      </c>
      <c r="BP33" s="201" t="s">
        <v>62</v>
      </c>
      <c r="BQ33" s="202" t="s">
        <v>63</v>
      </c>
      <c r="BR33" s="203" t="s">
        <v>62</v>
      </c>
      <c r="BS33" s="200" t="s">
        <v>63</v>
      </c>
      <c r="BT33" s="203" t="s">
        <v>62</v>
      </c>
      <c r="BU33" s="200" t="s">
        <v>63</v>
      </c>
      <c r="BV33" s="105"/>
      <c r="BW33" s="105"/>
      <c r="BX33" s="105"/>
      <c r="BY33" s="105"/>
      <c r="BZ33" s="105"/>
      <c r="CA33" s="105"/>
      <c r="CB33" s="105"/>
      <c r="CC33" s="105"/>
      <c r="CD33" s="105"/>
      <c r="CE33" s="105"/>
      <c r="CF33" s="105"/>
      <c r="CG33" s="105"/>
      <c r="CH33" s="105"/>
      <c r="CI33" s="105"/>
      <c r="CJ33" s="105"/>
      <c r="CK33" s="105"/>
      <c r="CL33" s="105"/>
      <c r="CM33" s="105"/>
      <c r="CN33" s="105"/>
      <c r="CO33" s="105"/>
      <c r="CP33" s="105"/>
      <c r="CQ33" s="105"/>
      <c r="CR33" s="105"/>
      <c r="CS33" s="105"/>
      <c r="CT33" s="105"/>
      <c r="CU33" s="105"/>
      <c r="CV33" s="105"/>
      <c r="CW33" s="105"/>
      <c r="CX33" s="105"/>
      <c r="CY33" s="105"/>
      <c r="CZ33" s="104"/>
      <c r="DA33" s="210" t="str">
        <f>B48</f>
        <v>AW Farm Functional % - Plan</v>
      </c>
      <c r="DB33" s="233">
        <f t="shared" ref="DB33:DE33" si="83">DB32/DB31</f>
        <v>0.004</v>
      </c>
      <c r="DC33" s="233">
        <f t="shared" si="83"/>
        <v>0.004615384615</v>
      </c>
      <c r="DD33" s="233">
        <f t="shared" si="83"/>
        <v>0.004487658938</v>
      </c>
      <c r="DE33" s="233">
        <f t="shared" si="83"/>
        <v>0.01428571429</v>
      </c>
      <c r="DF33" s="213"/>
      <c r="DG33" s="233">
        <f>DG32/DG31</f>
        <v>0.02222222222</v>
      </c>
      <c r="DH33" s="213"/>
      <c r="DI33" s="105"/>
      <c r="DJ33" s="105"/>
      <c r="DK33" s="104"/>
      <c r="DL33" s="104"/>
    </row>
    <row r="34" ht="12.0" customHeight="1">
      <c r="A34" s="104"/>
      <c r="B34" s="113" t="s">
        <v>112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81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81"/>
      <c r="AC34" s="117"/>
      <c r="AD34" s="117"/>
      <c r="AE34" s="117"/>
      <c r="AF34" s="117"/>
      <c r="AG34" s="117"/>
      <c r="AH34" s="117">
        <f t="shared" ref="AH34:AN34" si="84">AH33/AH8/AH7</f>
        <v>142.1442476</v>
      </c>
      <c r="AI34" s="117">
        <f t="shared" si="84"/>
        <v>104.3959078</v>
      </c>
      <c r="AJ34" s="117">
        <f t="shared" si="84"/>
        <v>59.95269124</v>
      </c>
      <c r="AK34" s="117">
        <f t="shared" si="84"/>
        <v>24.79639048</v>
      </c>
      <c r="AL34" s="117">
        <f t="shared" si="84"/>
        <v>34.16463594</v>
      </c>
      <c r="AM34" s="117">
        <f t="shared" si="84"/>
        <v>56.48414286</v>
      </c>
      <c r="AN34" s="117">
        <f t="shared" si="84"/>
        <v>40.97773272</v>
      </c>
      <c r="AO34" s="182"/>
      <c r="AP34" s="117">
        <f t="shared" ref="AP34:BA34" si="85">AP33/AP8/AP7</f>
        <v>36.89597235</v>
      </c>
      <c r="AQ34" s="117">
        <f t="shared" si="85"/>
        <v>34.24363265</v>
      </c>
      <c r="AR34" s="117">
        <f t="shared" si="85"/>
        <v>37.46741016</v>
      </c>
      <c r="AS34" s="117">
        <f t="shared" si="85"/>
        <v>38.98127619</v>
      </c>
      <c r="AT34" s="117">
        <f t="shared" si="85"/>
        <v>36.89597235</v>
      </c>
      <c r="AU34" s="117">
        <f t="shared" si="85"/>
        <v>44.65287619</v>
      </c>
      <c r="AV34" s="117">
        <f t="shared" si="85"/>
        <v>0</v>
      </c>
      <c r="AW34" s="117">
        <f t="shared" si="85"/>
        <v>0</v>
      </c>
      <c r="AX34" s="117">
        <f t="shared" si="85"/>
        <v>0</v>
      </c>
      <c r="AY34" s="117">
        <f t="shared" si="85"/>
        <v>0</v>
      </c>
      <c r="AZ34" s="117">
        <f t="shared" si="85"/>
        <v>0</v>
      </c>
      <c r="BA34" s="117">
        <f t="shared" si="85"/>
        <v>0</v>
      </c>
      <c r="BB34" s="182"/>
      <c r="BC34" s="105"/>
      <c r="BD34" s="105"/>
      <c r="BE34" s="46" t="s">
        <v>113</v>
      </c>
      <c r="BF34" s="117">
        <f t="shared" ref="BF34:BK34" si="86">BF25</f>
        <v>1750</v>
      </c>
      <c r="BG34" s="117">
        <f t="shared" si="86"/>
        <v>2560</v>
      </c>
      <c r="BH34" s="117">
        <f t="shared" si="86"/>
        <v>2674</v>
      </c>
      <c r="BI34" s="117">
        <f t="shared" si="86"/>
        <v>3520</v>
      </c>
      <c r="BJ34" s="117">
        <f t="shared" si="86"/>
        <v>3206</v>
      </c>
      <c r="BK34" s="117">
        <f t="shared" si="86"/>
        <v>4600</v>
      </c>
      <c r="BL34" s="117"/>
      <c r="BM34" s="105"/>
      <c r="BN34" s="221" t="str">
        <f t="shared" ref="BN34:BN35" si="89">#REF!</f>
        <v>#REF!</v>
      </c>
      <c r="BO34" s="117" t="str">
        <f>BO25</f>
        <v>#REF!</v>
      </c>
      <c r="BP34" s="117">
        <v>2600.0</v>
      </c>
      <c r="BQ34" s="117" t="str">
        <f>BQ25</f>
        <v>#REF!</v>
      </c>
      <c r="BR34" s="117">
        <v>3500.0</v>
      </c>
      <c r="BS34" s="117"/>
      <c r="BT34" s="117">
        <v>4500.0</v>
      </c>
      <c r="BU34" s="117"/>
      <c r="BV34" s="105"/>
      <c r="BW34" s="105"/>
      <c r="BX34" s="105"/>
      <c r="BY34" s="105"/>
      <c r="BZ34" s="105"/>
      <c r="CA34" s="105"/>
      <c r="CB34" s="105"/>
      <c r="CC34" s="105"/>
      <c r="CD34" s="105"/>
      <c r="CE34" s="105"/>
      <c r="CF34" s="105"/>
      <c r="CG34" s="105"/>
      <c r="CH34" s="105"/>
      <c r="CI34" s="105"/>
      <c r="CJ34" s="105"/>
      <c r="CK34" s="105"/>
      <c r="CL34" s="105"/>
      <c r="CM34" s="105"/>
      <c r="CN34" s="105"/>
      <c r="CO34" s="105"/>
      <c r="CP34" s="105"/>
      <c r="CQ34" s="105"/>
      <c r="CR34" s="105"/>
      <c r="CS34" s="105"/>
      <c r="CT34" s="105"/>
      <c r="CU34" s="105"/>
      <c r="CV34" s="105"/>
      <c r="CW34" s="105"/>
      <c r="CX34" s="105"/>
      <c r="CY34" s="105"/>
      <c r="CZ34" s="104"/>
      <c r="DA34" s="107"/>
      <c r="DB34" s="107"/>
      <c r="DC34" s="107"/>
      <c r="DD34" s="107"/>
      <c r="DE34" s="107"/>
      <c r="DF34" s="107"/>
      <c r="DG34" s="107"/>
      <c r="DH34" s="107"/>
      <c r="DI34" s="132"/>
      <c r="DJ34" s="132"/>
      <c r="DK34" s="131"/>
      <c r="DL34" s="131"/>
    </row>
    <row r="35" ht="12.0" customHeight="1">
      <c r="A35" s="104"/>
      <c r="B35" s="113" t="s">
        <v>114</v>
      </c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81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81"/>
      <c r="AC35" s="117"/>
      <c r="AD35" s="117"/>
      <c r="AE35" s="117"/>
      <c r="AF35" s="117"/>
      <c r="AG35" s="117"/>
      <c r="AH35" s="76">
        <f t="shared" ref="AH35:AN35" si="87">AH33/AH12</f>
        <v>0.07509776753</v>
      </c>
      <c r="AI35" s="76">
        <f t="shared" si="87"/>
        <v>0.05784095301</v>
      </c>
      <c r="AJ35" s="74">
        <f t="shared" si="87"/>
        <v>0.03659507633</v>
      </c>
      <c r="AK35" s="74">
        <f t="shared" si="87"/>
        <v>0.01524324626</v>
      </c>
      <c r="AL35" s="74">
        <f t="shared" si="87"/>
        <v>0.02126137545</v>
      </c>
      <c r="AM35" s="74">
        <f t="shared" si="87"/>
        <v>0.03408052887</v>
      </c>
      <c r="AN35" s="74">
        <f t="shared" si="87"/>
        <v>0.02678018859</v>
      </c>
      <c r="AO35" s="182"/>
      <c r="AP35" s="74">
        <f t="shared" ref="AP35:BA35" si="88">IFERROR(AP33/AP12,0)</f>
        <v>0.02456753542</v>
      </c>
      <c r="AQ35" s="74">
        <f t="shared" si="88"/>
        <v>0.02253922632</v>
      </c>
      <c r="AR35" s="74">
        <f t="shared" si="88"/>
        <v>0.02594767441</v>
      </c>
      <c r="AS35" s="74">
        <f t="shared" si="88"/>
        <v>0.0254636869</v>
      </c>
      <c r="AT35" s="74">
        <f t="shared" si="88"/>
        <v>0.02456753542</v>
      </c>
      <c r="AU35" s="74">
        <f t="shared" si="88"/>
        <v>0.02295404733</v>
      </c>
      <c r="AV35" s="74">
        <f t="shared" si="88"/>
        <v>0</v>
      </c>
      <c r="AW35" s="74">
        <f t="shared" si="88"/>
        <v>0</v>
      </c>
      <c r="AX35" s="74">
        <f t="shared" si="88"/>
        <v>0</v>
      </c>
      <c r="AY35" s="74">
        <f t="shared" si="88"/>
        <v>0</v>
      </c>
      <c r="AZ35" s="74">
        <f t="shared" si="88"/>
        <v>0</v>
      </c>
      <c r="BA35" s="74">
        <f t="shared" si="88"/>
        <v>0</v>
      </c>
      <c r="BB35" s="182"/>
      <c r="BC35" s="105"/>
      <c r="BD35" s="105"/>
      <c r="BE35" s="46" t="s">
        <v>115</v>
      </c>
      <c r="BF35" s="232">
        <f>O45</f>
        <v>7</v>
      </c>
      <c r="BG35" s="232">
        <f>AB46</f>
        <v>12</v>
      </c>
      <c r="BH35" s="232">
        <f>AB45</f>
        <v>12</v>
      </c>
      <c r="BI35" s="232">
        <f>AO46</f>
        <v>50</v>
      </c>
      <c r="BJ35" s="232">
        <f>AO45</f>
        <v>50</v>
      </c>
      <c r="BK35" s="232">
        <f>BB46</f>
        <v>100</v>
      </c>
      <c r="BL35" s="117"/>
      <c r="BM35" s="105"/>
      <c r="BN35" s="221" t="str">
        <f t="shared" si="89"/>
        <v>#REF!</v>
      </c>
      <c r="BO35" s="232" t="str">
        <f>#REF!</f>
        <v>#REF!</v>
      </c>
      <c r="BP35" s="232">
        <v>12.0</v>
      </c>
      <c r="BQ35" s="232" t="str">
        <f>#REF!</f>
        <v>#REF!</v>
      </c>
      <c r="BR35" s="232">
        <v>50.0</v>
      </c>
      <c r="BS35" s="232"/>
      <c r="BT35" s="232">
        <v>100.0</v>
      </c>
      <c r="BU35" s="117"/>
      <c r="BV35" s="105"/>
      <c r="BW35" s="105"/>
      <c r="BX35" s="105"/>
      <c r="BY35" s="105"/>
      <c r="BZ35" s="105"/>
      <c r="CA35" s="105"/>
      <c r="CB35" s="105"/>
      <c r="CC35" s="105"/>
      <c r="CD35" s="105"/>
      <c r="CE35" s="105"/>
      <c r="CF35" s="105"/>
      <c r="CG35" s="105"/>
      <c r="CH35" s="105"/>
      <c r="CI35" s="105"/>
      <c r="CJ35" s="105"/>
      <c r="CK35" s="105"/>
      <c r="CL35" s="105"/>
      <c r="CM35" s="105"/>
      <c r="CN35" s="105"/>
      <c r="CO35" s="105"/>
      <c r="CP35" s="105"/>
      <c r="CQ35" s="105"/>
      <c r="CR35" s="105"/>
      <c r="CS35" s="105"/>
      <c r="CT35" s="105"/>
      <c r="CU35" s="105"/>
      <c r="CV35" s="105"/>
      <c r="CW35" s="105"/>
      <c r="CX35" s="105"/>
      <c r="CY35" s="105"/>
      <c r="CZ35" s="104"/>
      <c r="DA35" s="105"/>
      <c r="DB35" s="105"/>
      <c r="DC35" s="105"/>
      <c r="DD35" s="105"/>
      <c r="DE35" s="105"/>
      <c r="DF35" s="105"/>
      <c r="DG35" s="105"/>
      <c r="DH35" s="105"/>
      <c r="DI35" s="105"/>
      <c r="DJ35" s="105"/>
      <c r="DK35" s="104"/>
      <c r="DL35" s="104"/>
    </row>
    <row r="36" ht="12.0" customHeight="1">
      <c r="A36" s="104"/>
      <c r="B36" s="113" t="s">
        <v>117</v>
      </c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81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81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82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82"/>
      <c r="BC36" s="105"/>
      <c r="BD36" s="105"/>
      <c r="BM36" s="105"/>
      <c r="BV36" s="105"/>
      <c r="BW36" s="105"/>
      <c r="BX36" s="105"/>
      <c r="BY36" s="105"/>
      <c r="BZ36" s="105"/>
      <c r="CA36" s="105"/>
      <c r="CB36" s="105"/>
      <c r="CC36" s="105"/>
      <c r="CD36" s="105"/>
      <c r="CE36" s="105"/>
      <c r="CF36" s="105"/>
      <c r="CG36" s="105"/>
      <c r="CH36" s="105"/>
      <c r="CI36" s="105"/>
      <c r="CJ36" s="105"/>
      <c r="CK36" s="105"/>
      <c r="CL36" s="105"/>
      <c r="CM36" s="105"/>
      <c r="CN36" s="105"/>
      <c r="CO36" s="105"/>
      <c r="CP36" s="105"/>
      <c r="CQ36" s="105"/>
      <c r="CR36" s="105"/>
      <c r="CS36" s="105"/>
      <c r="CT36" s="105"/>
      <c r="CU36" s="105"/>
      <c r="CV36" s="105"/>
      <c r="CW36" s="105"/>
      <c r="CX36" s="105"/>
      <c r="CY36" s="105"/>
      <c r="CZ36" s="104"/>
      <c r="DA36" s="105"/>
      <c r="DB36" s="105"/>
      <c r="DC36" s="105"/>
      <c r="DD36" s="105"/>
      <c r="DE36" s="105"/>
      <c r="DF36" s="105"/>
      <c r="DG36" s="105"/>
      <c r="DH36" s="105"/>
      <c r="DI36" s="105"/>
      <c r="DJ36" s="105"/>
      <c r="DK36" s="104"/>
      <c r="DL36" s="104"/>
    </row>
    <row r="37" ht="12.0" customHeight="1">
      <c r="A37" s="104"/>
      <c r="B37" s="113" t="s">
        <v>118</v>
      </c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81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81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82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82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  <c r="BM37" s="105"/>
      <c r="BN37" s="105"/>
      <c r="BO37" s="105"/>
      <c r="BP37" s="105"/>
      <c r="BQ37" s="105"/>
      <c r="BR37" s="105"/>
      <c r="BS37" s="105"/>
      <c r="BT37" s="105"/>
      <c r="BU37" s="105"/>
      <c r="BV37" s="105"/>
      <c r="BW37" s="105"/>
      <c r="BX37" s="105"/>
      <c r="BY37" s="105"/>
      <c r="BZ37" s="105"/>
      <c r="CA37" s="105"/>
      <c r="CB37" s="105"/>
      <c r="CC37" s="105"/>
      <c r="CD37" s="105"/>
      <c r="CE37" s="105"/>
      <c r="CF37" s="105"/>
      <c r="CG37" s="105"/>
      <c r="CH37" s="105"/>
      <c r="CI37" s="105"/>
      <c r="CJ37" s="105"/>
      <c r="CK37" s="105"/>
      <c r="CL37" s="105"/>
      <c r="CM37" s="105"/>
      <c r="CN37" s="105"/>
      <c r="CO37" s="105"/>
      <c r="CP37" s="105"/>
      <c r="CQ37" s="105"/>
      <c r="CR37" s="105"/>
      <c r="CS37" s="105"/>
      <c r="CT37" s="105"/>
      <c r="CU37" s="105"/>
      <c r="CV37" s="105"/>
      <c r="CW37" s="105"/>
      <c r="CX37" s="105"/>
      <c r="CY37" s="105"/>
      <c r="CZ37" s="104"/>
      <c r="DA37" s="105"/>
      <c r="DB37" s="105"/>
      <c r="DC37" s="105"/>
      <c r="DD37" s="105"/>
      <c r="DE37" s="105"/>
      <c r="DF37" s="105"/>
      <c r="DG37" s="105"/>
      <c r="DH37" s="105"/>
      <c r="DI37" s="105"/>
      <c r="DJ37" s="105"/>
      <c r="DK37" s="104"/>
      <c r="DL37" s="104"/>
    </row>
    <row r="38" ht="12.0" customHeight="1">
      <c r="A38" s="104"/>
      <c r="B38" s="102" t="s">
        <v>121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>
        <f>N39+60</f>
        <v>1810</v>
      </c>
      <c r="Q38" s="103">
        <f t="shared" ref="Q38:U38" si="90">P38+60</f>
        <v>1870</v>
      </c>
      <c r="R38" s="103">
        <f t="shared" si="90"/>
        <v>1930</v>
      </c>
      <c r="S38" s="103">
        <f t="shared" si="90"/>
        <v>1990</v>
      </c>
      <c r="T38" s="103">
        <f t="shared" si="90"/>
        <v>2050</v>
      </c>
      <c r="U38" s="103">
        <f t="shared" si="90"/>
        <v>2110</v>
      </c>
      <c r="V38" s="103">
        <f t="shared" ref="V38:AA38" si="91">U38+75</f>
        <v>2185</v>
      </c>
      <c r="W38" s="103">
        <f t="shared" si="91"/>
        <v>2260</v>
      </c>
      <c r="X38" s="103">
        <f t="shared" si="91"/>
        <v>2335</v>
      </c>
      <c r="Y38" s="103">
        <f t="shared" si="91"/>
        <v>2410</v>
      </c>
      <c r="Z38" s="103">
        <f t="shared" si="91"/>
        <v>2485</v>
      </c>
      <c r="AA38" s="103">
        <f t="shared" si="91"/>
        <v>2560</v>
      </c>
      <c r="AB38" s="103">
        <f t="shared" ref="AB38:AB41" si="94">AA38</f>
        <v>2560</v>
      </c>
      <c r="AC38" s="103">
        <f t="shared" ref="AC38:AN38" si="92">AB38+80</f>
        <v>2640</v>
      </c>
      <c r="AD38" s="103">
        <f t="shared" si="92"/>
        <v>2720</v>
      </c>
      <c r="AE38" s="103">
        <f t="shared" si="92"/>
        <v>2800</v>
      </c>
      <c r="AF38" s="103">
        <f t="shared" si="92"/>
        <v>2880</v>
      </c>
      <c r="AG38" s="103">
        <f t="shared" si="92"/>
        <v>2960</v>
      </c>
      <c r="AH38" s="103">
        <f t="shared" si="92"/>
        <v>3040</v>
      </c>
      <c r="AI38" s="103">
        <f t="shared" si="92"/>
        <v>3120</v>
      </c>
      <c r="AJ38" s="103">
        <f t="shared" si="92"/>
        <v>3200</v>
      </c>
      <c r="AK38" s="103">
        <f t="shared" si="92"/>
        <v>3280</v>
      </c>
      <c r="AL38" s="103">
        <f t="shared" si="92"/>
        <v>3360</v>
      </c>
      <c r="AM38" s="103">
        <f t="shared" si="92"/>
        <v>3440</v>
      </c>
      <c r="AN38" s="103">
        <f t="shared" si="92"/>
        <v>3520</v>
      </c>
      <c r="AO38" s="119">
        <f t="shared" ref="AO38:AO41" si="95">AN38</f>
        <v>3520</v>
      </c>
      <c r="AP38" s="119">
        <f t="shared" ref="AP38:BA38" si="93">AO38+90</f>
        <v>3610</v>
      </c>
      <c r="AQ38" s="119">
        <f t="shared" si="93"/>
        <v>3700</v>
      </c>
      <c r="AR38" s="119">
        <f t="shared" si="93"/>
        <v>3790</v>
      </c>
      <c r="AS38" s="119">
        <f t="shared" si="93"/>
        <v>3880</v>
      </c>
      <c r="AT38" s="119">
        <f t="shared" si="93"/>
        <v>3970</v>
      </c>
      <c r="AU38" s="119">
        <f t="shared" si="93"/>
        <v>4060</v>
      </c>
      <c r="AV38" s="119">
        <f t="shared" si="93"/>
        <v>4150</v>
      </c>
      <c r="AW38" s="119">
        <f t="shared" si="93"/>
        <v>4240</v>
      </c>
      <c r="AX38" s="119">
        <f t="shared" si="93"/>
        <v>4330</v>
      </c>
      <c r="AY38" s="119">
        <f t="shared" si="93"/>
        <v>4420</v>
      </c>
      <c r="AZ38" s="119">
        <f t="shared" si="93"/>
        <v>4510</v>
      </c>
      <c r="BA38" s="119">
        <f t="shared" si="93"/>
        <v>4600</v>
      </c>
      <c r="BB38" s="119">
        <f>BA38</f>
        <v>4600</v>
      </c>
      <c r="BC38" s="105">
        <f>AL38-AK38</f>
        <v>80</v>
      </c>
      <c r="BD38" s="105"/>
      <c r="BE38" s="105"/>
      <c r="BF38" s="105"/>
      <c r="BG38" s="105"/>
      <c r="BH38" s="105"/>
      <c r="BI38" s="105"/>
      <c r="BJ38" s="105"/>
      <c r="BK38" s="105"/>
      <c r="BL38" s="105"/>
      <c r="BM38" s="105"/>
      <c r="BN38" s="105"/>
      <c r="BO38" s="105"/>
      <c r="BP38" s="105"/>
      <c r="BQ38" s="105"/>
      <c r="BR38" s="105"/>
      <c r="BS38" s="105"/>
      <c r="BT38" s="105"/>
      <c r="BU38" s="105"/>
      <c r="BV38" s="105"/>
      <c r="BW38" s="105"/>
      <c r="BX38" s="105"/>
      <c r="BY38" s="105"/>
      <c r="BZ38" s="105"/>
      <c r="CA38" s="105"/>
      <c r="CB38" s="105"/>
      <c r="CC38" s="105"/>
      <c r="CD38" s="105"/>
      <c r="CE38" s="105"/>
      <c r="CF38" s="105"/>
      <c r="CG38" s="105"/>
      <c r="CH38" s="105"/>
      <c r="CI38" s="105"/>
      <c r="CJ38" s="105"/>
      <c r="CK38" s="105"/>
      <c r="CL38" s="105"/>
      <c r="CM38" s="105"/>
      <c r="CN38" s="105"/>
      <c r="CO38" s="105"/>
      <c r="CP38" s="105"/>
      <c r="CQ38" s="105"/>
      <c r="CR38" s="105"/>
      <c r="CS38" s="105"/>
      <c r="CT38" s="105"/>
      <c r="CU38" s="105"/>
      <c r="CV38" s="105"/>
      <c r="CW38" s="105"/>
      <c r="CX38" s="105"/>
      <c r="CY38" s="105"/>
      <c r="CZ38" s="104"/>
      <c r="DA38" s="105"/>
      <c r="DB38" s="105"/>
      <c r="DC38" s="105"/>
      <c r="DD38" s="105"/>
      <c r="DE38" s="105"/>
      <c r="DF38" s="105"/>
      <c r="DG38" s="105"/>
      <c r="DH38" s="105"/>
      <c r="DI38" s="105"/>
      <c r="DJ38" s="105"/>
      <c r="DK38" s="104"/>
      <c r="DL38" s="104"/>
    </row>
    <row r="39" ht="12.0" customHeight="1">
      <c r="A39" s="104"/>
      <c r="B39" s="109" t="s">
        <v>122</v>
      </c>
      <c r="C39" s="110">
        <v>1750.0</v>
      </c>
      <c r="D39" s="110">
        <v>1750.0</v>
      </c>
      <c r="E39" s="110">
        <v>1750.0</v>
      </c>
      <c r="F39" s="110">
        <v>1750.0</v>
      </c>
      <c r="G39" s="110">
        <v>1750.0</v>
      </c>
      <c r="H39" s="110">
        <v>1750.0</v>
      </c>
      <c r="I39" s="110">
        <v>1750.0</v>
      </c>
      <c r="J39" s="110">
        <v>1750.0</v>
      </c>
      <c r="K39" s="110">
        <v>1750.0</v>
      </c>
      <c r="L39" s="110">
        <v>1750.0</v>
      </c>
      <c r="M39" s="110">
        <v>1750.0</v>
      </c>
      <c r="N39" s="110">
        <v>1750.0</v>
      </c>
      <c r="O39" s="110">
        <f t="shared" ref="O39:O40" si="96">N39</f>
        <v>1750</v>
      </c>
      <c r="P39" s="110">
        <f>N39+45</f>
        <v>1795</v>
      </c>
      <c r="Q39" s="110">
        <f>P39+38</f>
        <v>1833</v>
      </c>
      <c r="R39" s="110">
        <f>Q39+56</f>
        <v>1889</v>
      </c>
      <c r="S39" s="110">
        <f>R39+65</f>
        <v>1954</v>
      </c>
      <c r="T39" s="110">
        <f>S39+73</f>
        <v>2027</v>
      </c>
      <c r="U39" s="110">
        <f>T39+75</f>
        <v>2102</v>
      </c>
      <c r="V39" s="110">
        <f>U39+80</f>
        <v>2182</v>
      </c>
      <c r="W39" s="110">
        <f>V39+110</f>
        <v>2292</v>
      </c>
      <c r="X39" s="110">
        <f>W39+89</f>
        <v>2381</v>
      </c>
      <c r="Y39" s="110">
        <f>X39+67</f>
        <v>2448</v>
      </c>
      <c r="Z39" s="110">
        <f>Y39+60</f>
        <v>2508</v>
      </c>
      <c r="AA39" s="110">
        <v>2674.0</v>
      </c>
      <c r="AB39" s="110">
        <f t="shared" si="94"/>
        <v>2674</v>
      </c>
      <c r="AC39" s="111">
        <v>2744.0</v>
      </c>
      <c r="AD39" s="111">
        <v>2744.0</v>
      </c>
      <c r="AE39" s="111">
        <v>2830.0</v>
      </c>
      <c r="AF39" s="111">
        <v>2824.0</v>
      </c>
      <c r="AG39" s="111">
        <v>3058.0</v>
      </c>
      <c r="AH39" s="111">
        <v>3071.0</v>
      </c>
      <c r="AI39" s="111">
        <v>3022.0</v>
      </c>
      <c r="AJ39" s="111">
        <v>3007.0</v>
      </c>
      <c r="AK39" s="111">
        <v>3041.0</v>
      </c>
      <c r="AL39" s="111">
        <v>3236.0</v>
      </c>
      <c r="AM39" s="111">
        <v>3267.0</v>
      </c>
      <c r="AN39" s="111">
        <v>3206.0</v>
      </c>
      <c r="AO39" s="111">
        <f t="shared" si="95"/>
        <v>3206</v>
      </c>
      <c r="AP39" s="111">
        <v>3284.0</v>
      </c>
      <c r="AQ39" s="111">
        <v>3283.0</v>
      </c>
      <c r="AR39" s="111">
        <v>3183.0</v>
      </c>
      <c r="AS39" s="111">
        <v>3170.0</v>
      </c>
      <c r="AT39" s="111">
        <v>3312.0</v>
      </c>
      <c r="AU39" s="111">
        <f>AT39+7</f>
        <v>3319</v>
      </c>
      <c r="AV39" s="111"/>
      <c r="AW39" s="111"/>
      <c r="AX39" s="111"/>
      <c r="AY39" s="111"/>
      <c r="AZ39" s="111"/>
      <c r="BA39" s="111"/>
      <c r="BB39" s="111">
        <f t="shared" ref="BB39:BB40" si="97">AU39</f>
        <v>3319</v>
      </c>
      <c r="BC39" s="105">
        <f>AM39-AL39</f>
        <v>31</v>
      </c>
      <c r="BD39" s="105"/>
      <c r="BE39" s="105"/>
      <c r="BF39" s="105"/>
      <c r="BG39" s="105"/>
      <c r="BH39" s="105"/>
      <c r="BI39" s="105"/>
      <c r="BJ39" s="105"/>
      <c r="BK39" s="105"/>
      <c r="BL39" s="105"/>
      <c r="BM39" s="105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105"/>
      <c r="CB39" s="105"/>
      <c r="CC39" s="105"/>
      <c r="CD39" s="105"/>
      <c r="CE39" s="105"/>
      <c r="CF39" s="105"/>
      <c r="CG39" s="105"/>
      <c r="CH39" s="105"/>
      <c r="CI39" s="105"/>
      <c r="CJ39" s="105"/>
      <c r="CK39" s="105"/>
      <c r="CL39" s="105"/>
      <c r="CM39" s="105"/>
      <c r="CN39" s="105"/>
      <c r="CO39" s="105"/>
      <c r="CP39" s="105"/>
      <c r="CQ39" s="105"/>
      <c r="CR39" s="105"/>
      <c r="CS39" s="105"/>
      <c r="CT39" s="105"/>
      <c r="CU39" s="105"/>
      <c r="CV39" s="105"/>
      <c r="CW39" s="105"/>
      <c r="CX39" s="105"/>
      <c r="CY39" s="105"/>
      <c r="CZ39" s="104"/>
      <c r="DA39" s="105"/>
      <c r="DB39" s="105"/>
      <c r="DC39" s="105"/>
      <c r="DD39" s="105"/>
      <c r="DE39" s="105"/>
      <c r="DF39" s="105"/>
      <c r="DG39" s="105"/>
      <c r="DH39" s="105"/>
      <c r="DI39" s="105"/>
      <c r="DJ39" s="105"/>
      <c r="DK39" s="104"/>
      <c r="DL39" s="104"/>
    </row>
    <row r="40" ht="12.0" customHeight="1">
      <c r="A40" s="104"/>
      <c r="B40" s="113" t="s">
        <v>123</v>
      </c>
      <c r="C40" s="114">
        <v>105.0</v>
      </c>
      <c r="D40" s="114">
        <v>105.0</v>
      </c>
      <c r="E40" s="114">
        <v>105.0</v>
      </c>
      <c r="F40" s="114">
        <v>105.0</v>
      </c>
      <c r="G40" s="114">
        <v>105.0</v>
      </c>
      <c r="H40" s="114">
        <v>105.0</v>
      </c>
      <c r="I40" s="114">
        <v>105.0</v>
      </c>
      <c r="J40" s="114">
        <v>105.0</v>
      </c>
      <c r="K40" s="114">
        <v>105.0</v>
      </c>
      <c r="L40" s="114">
        <v>105.0</v>
      </c>
      <c r="M40" s="114">
        <v>105.0</v>
      </c>
      <c r="N40" s="114">
        <v>105.0</v>
      </c>
      <c r="O40" s="181">
        <f t="shared" si="96"/>
        <v>105</v>
      </c>
      <c r="P40" s="114">
        <v>664.0</v>
      </c>
      <c r="Q40" s="114">
        <v>664.0</v>
      </c>
      <c r="R40" s="114">
        <v>664.0</v>
      </c>
      <c r="S40" s="114">
        <v>812.0</v>
      </c>
      <c r="T40" s="114">
        <v>812.0</v>
      </c>
      <c r="U40" s="114">
        <v>812.0</v>
      </c>
      <c r="V40" s="114">
        <v>1003.0</v>
      </c>
      <c r="W40" s="114">
        <v>1003.0</v>
      </c>
      <c r="X40" s="114">
        <v>1003.0</v>
      </c>
      <c r="Y40" s="114">
        <v>1204.0</v>
      </c>
      <c r="Z40" s="114">
        <v>1204.0</v>
      </c>
      <c r="AA40" s="114">
        <v>1204.0</v>
      </c>
      <c r="AB40" s="181">
        <f t="shared" si="94"/>
        <v>1204</v>
      </c>
      <c r="AC40" s="117">
        <v>1102.0</v>
      </c>
      <c r="AD40" s="117">
        <v>1102.0</v>
      </c>
      <c r="AE40" s="117">
        <v>1244.0</v>
      </c>
      <c r="AF40" s="117">
        <v>1241.0</v>
      </c>
      <c r="AG40" s="117">
        <v>1368.0</v>
      </c>
      <c r="AH40" s="117">
        <v>1415.0</v>
      </c>
      <c r="AI40" s="117">
        <v>1409.0</v>
      </c>
      <c r="AJ40" s="117">
        <v>1403.0</v>
      </c>
      <c r="AK40" s="117">
        <v>1433.0</v>
      </c>
      <c r="AL40" s="117">
        <v>1450.0</v>
      </c>
      <c r="AM40" s="117">
        <v>1471.0</v>
      </c>
      <c r="AN40" s="117">
        <v>1561.0</v>
      </c>
      <c r="AO40" s="182">
        <f t="shared" si="95"/>
        <v>1561</v>
      </c>
      <c r="AP40" s="117">
        <v>1605.0</v>
      </c>
      <c r="AQ40" s="117">
        <v>1614.0</v>
      </c>
      <c r="AR40" s="117">
        <v>1621.0</v>
      </c>
      <c r="AS40" s="117">
        <v>1542.0</v>
      </c>
      <c r="AT40" s="117">
        <v>1616.0</v>
      </c>
      <c r="AU40" s="117">
        <f>AT40+4</f>
        <v>1620</v>
      </c>
      <c r="AV40" s="117"/>
      <c r="AW40" s="117"/>
      <c r="AX40" s="117"/>
      <c r="AY40" s="117"/>
      <c r="AZ40" s="117"/>
      <c r="BA40" s="117"/>
      <c r="BB40" s="182">
        <f t="shared" si="97"/>
        <v>1620</v>
      </c>
      <c r="BC40" s="105">
        <f>BB40-O40</f>
        <v>1515</v>
      </c>
      <c r="BD40" s="105">
        <f>BC40+Govind!BC40+'SDDPL '!BC40</f>
        <v>5653</v>
      </c>
      <c r="BE40" s="105"/>
      <c r="BF40" s="105"/>
      <c r="BG40" s="105"/>
      <c r="BH40" s="105"/>
      <c r="BI40" s="105"/>
      <c r="BJ40" s="105"/>
      <c r="BK40" s="105"/>
      <c r="BL40" s="105"/>
      <c r="BM40" s="105"/>
      <c r="BN40" s="105"/>
      <c r="BO40" s="105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  <c r="CD40" s="105"/>
      <c r="CE40" s="105"/>
      <c r="CF40" s="105"/>
      <c r="CG40" s="105"/>
      <c r="CH40" s="105"/>
      <c r="CI40" s="105"/>
      <c r="CJ40" s="105"/>
      <c r="CK40" s="105"/>
      <c r="CL40" s="105"/>
      <c r="CM40" s="105"/>
      <c r="CN40" s="105"/>
      <c r="CO40" s="105"/>
      <c r="CP40" s="105"/>
      <c r="CQ40" s="105"/>
      <c r="CR40" s="105"/>
      <c r="CS40" s="105"/>
      <c r="CT40" s="105"/>
      <c r="CU40" s="105"/>
      <c r="CV40" s="105"/>
      <c r="CW40" s="105"/>
      <c r="CX40" s="105"/>
      <c r="CY40" s="105"/>
      <c r="CZ40" s="104"/>
      <c r="DA40" s="105"/>
      <c r="DB40" s="105"/>
      <c r="DC40" s="105"/>
      <c r="DD40" s="105"/>
      <c r="DE40" s="105"/>
      <c r="DF40" s="105"/>
      <c r="DG40" s="105"/>
      <c r="DH40" s="105"/>
      <c r="DI40" s="105"/>
      <c r="DJ40" s="105"/>
      <c r="DK40" s="104"/>
      <c r="DL40" s="104"/>
    </row>
    <row r="41" ht="12.0" customHeight="1">
      <c r="A41" s="104"/>
      <c r="B41" s="102" t="s">
        <v>124</v>
      </c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>
        <v>120.0</v>
      </c>
      <c r="Q41" s="103">
        <f t="shared" ref="Q41:U41" si="98">P41+20</f>
        <v>140</v>
      </c>
      <c r="R41" s="103">
        <f t="shared" si="98"/>
        <v>160</v>
      </c>
      <c r="S41" s="103">
        <f t="shared" si="98"/>
        <v>180</v>
      </c>
      <c r="T41" s="103">
        <f t="shared" si="98"/>
        <v>200</v>
      </c>
      <c r="U41" s="103">
        <f t="shared" si="98"/>
        <v>220</v>
      </c>
      <c r="V41" s="103">
        <f t="shared" ref="V41:Z41" si="99">U41+25</f>
        <v>245</v>
      </c>
      <c r="W41" s="103">
        <f t="shared" si="99"/>
        <v>270</v>
      </c>
      <c r="X41" s="103">
        <f t="shared" si="99"/>
        <v>295</v>
      </c>
      <c r="Y41" s="103">
        <f t="shared" si="99"/>
        <v>320</v>
      </c>
      <c r="Z41" s="103">
        <f t="shared" si="99"/>
        <v>345</v>
      </c>
      <c r="AA41" s="103">
        <v>390.0</v>
      </c>
      <c r="AB41" s="103">
        <f t="shared" si="94"/>
        <v>390</v>
      </c>
      <c r="AC41" s="119">
        <f>AA41+150</f>
        <v>540</v>
      </c>
      <c r="AD41" s="119">
        <f>AB41+230</f>
        <v>620</v>
      </c>
      <c r="AE41" s="119">
        <f t="shared" ref="AE41:AF41" si="100">AC41+150</f>
        <v>690</v>
      </c>
      <c r="AF41" s="119">
        <f t="shared" si="100"/>
        <v>770</v>
      </c>
      <c r="AG41" s="119">
        <f>AE41+180</f>
        <v>870</v>
      </c>
      <c r="AH41" s="119">
        <f t="shared" ref="AH41:AI41" si="101">AF41+150</f>
        <v>920</v>
      </c>
      <c r="AI41" s="119">
        <f t="shared" si="101"/>
        <v>1020</v>
      </c>
      <c r="AJ41" s="119">
        <f>AH41+200</f>
        <v>1120</v>
      </c>
      <c r="AK41" s="119">
        <f>AI41+150</f>
        <v>1170</v>
      </c>
      <c r="AL41" s="119">
        <f>AJ41+120</f>
        <v>1240</v>
      </c>
      <c r="AM41" s="119">
        <f>AK41+150</f>
        <v>1320</v>
      </c>
      <c r="AN41" s="119">
        <f>AL41+180</f>
        <v>1420</v>
      </c>
      <c r="AO41" s="119">
        <f t="shared" si="95"/>
        <v>1420</v>
      </c>
      <c r="AP41" s="119">
        <f t="shared" ref="AP41:BA41" si="102">AO41+75</f>
        <v>1495</v>
      </c>
      <c r="AQ41" s="119">
        <f t="shared" si="102"/>
        <v>1570</v>
      </c>
      <c r="AR41" s="119">
        <f t="shared" si="102"/>
        <v>1645</v>
      </c>
      <c r="AS41" s="119">
        <f t="shared" si="102"/>
        <v>1720</v>
      </c>
      <c r="AT41" s="119">
        <f t="shared" si="102"/>
        <v>1795</v>
      </c>
      <c r="AU41" s="119">
        <f t="shared" si="102"/>
        <v>1870</v>
      </c>
      <c r="AV41" s="119">
        <f t="shared" si="102"/>
        <v>1945</v>
      </c>
      <c r="AW41" s="119">
        <f t="shared" si="102"/>
        <v>2020</v>
      </c>
      <c r="AX41" s="119">
        <f t="shared" si="102"/>
        <v>2095</v>
      </c>
      <c r="AY41" s="119">
        <f t="shared" si="102"/>
        <v>2170</v>
      </c>
      <c r="AZ41" s="119">
        <f t="shared" si="102"/>
        <v>2245</v>
      </c>
      <c r="BA41" s="119">
        <f t="shared" si="102"/>
        <v>2320</v>
      </c>
      <c r="BB41" s="119">
        <f>BA41</f>
        <v>2320</v>
      </c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  <c r="BU41" s="105"/>
      <c r="BV41" s="105"/>
      <c r="BW41" s="105"/>
      <c r="BX41" s="105"/>
      <c r="BY41" s="105"/>
      <c r="BZ41" s="105"/>
      <c r="CA41" s="105"/>
      <c r="CB41" s="105"/>
      <c r="CC41" s="105"/>
      <c r="CD41" s="105"/>
      <c r="CE41" s="105"/>
      <c r="CF41" s="105"/>
      <c r="CG41" s="105"/>
      <c r="CH41" s="105"/>
      <c r="CI41" s="105"/>
      <c r="CJ41" s="105"/>
      <c r="CK41" s="105"/>
      <c r="CL41" s="105"/>
      <c r="CM41" s="105"/>
      <c r="CN41" s="105"/>
      <c r="CO41" s="105"/>
      <c r="CP41" s="105"/>
      <c r="CQ41" s="105"/>
      <c r="CR41" s="105"/>
      <c r="CS41" s="105"/>
      <c r="CT41" s="105"/>
      <c r="CU41" s="105"/>
      <c r="CV41" s="105"/>
      <c r="CW41" s="105"/>
      <c r="CX41" s="105"/>
      <c r="CY41" s="105"/>
      <c r="CZ41" s="104"/>
      <c r="DA41" s="105"/>
      <c r="DB41" s="105"/>
      <c r="DC41" s="105"/>
      <c r="DD41" s="105"/>
      <c r="DE41" s="105"/>
      <c r="DF41" s="105"/>
      <c r="DG41" s="105"/>
      <c r="DH41" s="105"/>
      <c r="DI41" s="105"/>
      <c r="DJ41" s="105"/>
      <c r="DK41" s="104"/>
      <c r="DL41" s="104"/>
    </row>
    <row r="42" ht="12.0" customHeight="1">
      <c r="A42" s="104"/>
      <c r="B42" s="120" t="s">
        <v>125</v>
      </c>
      <c r="C42" s="121">
        <f t="shared" ref="C42:AO42" si="103">C40/C39</f>
        <v>0.06</v>
      </c>
      <c r="D42" s="121">
        <f t="shared" si="103"/>
        <v>0.06</v>
      </c>
      <c r="E42" s="121">
        <f t="shared" si="103"/>
        <v>0.06</v>
      </c>
      <c r="F42" s="121">
        <f t="shared" si="103"/>
        <v>0.06</v>
      </c>
      <c r="G42" s="121">
        <f t="shared" si="103"/>
        <v>0.06</v>
      </c>
      <c r="H42" s="121">
        <f t="shared" si="103"/>
        <v>0.06</v>
      </c>
      <c r="I42" s="121">
        <f t="shared" si="103"/>
        <v>0.06</v>
      </c>
      <c r="J42" s="121">
        <f t="shared" si="103"/>
        <v>0.06</v>
      </c>
      <c r="K42" s="121">
        <f t="shared" si="103"/>
        <v>0.06</v>
      </c>
      <c r="L42" s="121">
        <f t="shared" si="103"/>
        <v>0.06</v>
      </c>
      <c r="M42" s="121">
        <f t="shared" si="103"/>
        <v>0.06</v>
      </c>
      <c r="N42" s="121">
        <f t="shared" si="103"/>
        <v>0.06</v>
      </c>
      <c r="O42" s="121">
        <f t="shared" si="103"/>
        <v>0.06</v>
      </c>
      <c r="P42" s="121">
        <f t="shared" si="103"/>
        <v>0.3699164345</v>
      </c>
      <c r="Q42" s="121">
        <f t="shared" si="103"/>
        <v>0.3622476814</v>
      </c>
      <c r="R42" s="121">
        <f t="shared" si="103"/>
        <v>0.3515087348</v>
      </c>
      <c r="S42" s="121">
        <f t="shared" si="103"/>
        <v>0.4155578301</v>
      </c>
      <c r="T42" s="121">
        <f t="shared" si="103"/>
        <v>0.4005920079</v>
      </c>
      <c r="U42" s="121">
        <f t="shared" si="103"/>
        <v>0.3862987631</v>
      </c>
      <c r="V42" s="121">
        <f t="shared" si="103"/>
        <v>0.4596700275</v>
      </c>
      <c r="W42" s="121">
        <f t="shared" si="103"/>
        <v>0.437609075</v>
      </c>
      <c r="X42" s="121">
        <f t="shared" si="103"/>
        <v>0.421251575</v>
      </c>
      <c r="Y42" s="121">
        <f t="shared" si="103"/>
        <v>0.4918300654</v>
      </c>
      <c r="Z42" s="121">
        <f t="shared" si="103"/>
        <v>0.4800637959</v>
      </c>
      <c r="AA42" s="121">
        <f t="shared" si="103"/>
        <v>0.4502617801</v>
      </c>
      <c r="AB42" s="121">
        <f t="shared" si="103"/>
        <v>0.4502617801</v>
      </c>
      <c r="AC42" s="121">
        <f t="shared" si="103"/>
        <v>0.4016034985</v>
      </c>
      <c r="AD42" s="121">
        <f t="shared" si="103"/>
        <v>0.4016034985</v>
      </c>
      <c r="AE42" s="121">
        <f t="shared" si="103"/>
        <v>0.4395759717</v>
      </c>
      <c r="AF42" s="121">
        <f t="shared" si="103"/>
        <v>0.4394475921</v>
      </c>
      <c r="AG42" s="121">
        <f t="shared" si="103"/>
        <v>0.4473512099</v>
      </c>
      <c r="AH42" s="121">
        <f t="shared" si="103"/>
        <v>0.4607619668</v>
      </c>
      <c r="AI42" s="121">
        <f t="shared" si="103"/>
        <v>0.4662475182</v>
      </c>
      <c r="AJ42" s="121">
        <f t="shared" si="103"/>
        <v>0.4665779847</v>
      </c>
      <c r="AK42" s="121">
        <f t="shared" si="103"/>
        <v>0.4712265702</v>
      </c>
      <c r="AL42" s="121">
        <f t="shared" si="103"/>
        <v>0.4480840544</v>
      </c>
      <c r="AM42" s="121">
        <f t="shared" si="103"/>
        <v>0.4502601775</v>
      </c>
      <c r="AN42" s="121">
        <f t="shared" si="103"/>
        <v>0.4868995633</v>
      </c>
      <c r="AO42" s="234">
        <f t="shared" si="103"/>
        <v>0.4868995633</v>
      </c>
      <c r="AP42" s="121">
        <f t="shared" ref="AP42:BB42" si="104">IFERROR(AP40/AP39,0)</f>
        <v>0.4887332521</v>
      </c>
      <c r="AQ42" s="121">
        <f t="shared" si="104"/>
        <v>0.4916235151</v>
      </c>
      <c r="AR42" s="121">
        <f t="shared" si="104"/>
        <v>0.5092679862</v>
      </c>
      <c r="AS42" s="121">
        <f t="shared" si="104"/>
        <v>0.4864353312</v>
      </c>
      <c r="AT42" s="121">
        <f t="shared" si="104"/>
        <v>0.4879227053</v>
      </c>
      <c r="AU42" s="121">
        <f t="shared" si="104"/>
        <v>0.4880988249</v>
      </c>
      <c r="AV42" s="121">
        <f t="shared" si="104"/>
        <v>0</v>
      </c>
      <c r="AW42" s="121">
        <f t="shared" si="104"/>
        <v>0</v>
      </c>
      <c r="AX42" s="121">
        <f t="shared" si="104"/>
        <v>0</v>
      </c>
      <c r="AY42" s="121">
        <f t="shared" si="104"/>
        <v>0</v>
      </c>
      <c r="AZ42" s="121">
        <f t="shared" si="104"/>
        <v>0</v>
      </c>
      <c r="BA42" s="121">
        <f t="shared" si="104"/>
        <v>0</v>
      </c>
      <c r="BB42" s="121">
        <f t="shared" si="104"/>
        <v>0.4880988249</v>
      </c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/>
      <c r="BU42" s="105"/>
      <c r="BV42" s="105"/>
      <c r="BW42" s="105"/>
      <c r="BX42" s="105"/>
      <c r="BY42" s="105"/>
      <c r="BZ42" s="105"/>
      <c r="CA42" s="105"/>
      <c r="CB42" s="105"/>
      <c r="CC42" s="105"/>
      <c r="CD42" s="105"/>
      <c r="CE42" s="105"/>
      <c r="CF42" s="105"/>
      <c r="CG42" s="105"/>
      <c r="CH42" s="105"/>
      <c r="CI42" s="105"/>
      <c r="CJ42" s="105"/>
      <c r="CK42" s="105"/>
      <c r="CL42" s="105"/>
      <c r="CM42" s="105"/>
      <c r="CN42" s="105"/>
      <c r="CO42" s="105"/>
      <c r="CP42" s="105"/>
      <c r="CQ42" s="105"/>
      <c r="CR42" s="105"/>
      <c r="CS42" s="105"/>
      <c r="CT42" s="105"/>
      <c r="CU42" s="105"/>
      <c r="CV42" s="105"/>
      <c r="CW42" s="105"/>
      <c r="CX42" s="105"/>
      <c r="CY42" s="105"/>
      <c r="CZ42" s="122"/>
      <c r="DA42" s="106"/>
      <c r="DB42" s="106"/>
      <c r="DC42" s="106"/>
      <c r="DD42" s="106"/>
      <c r="DE42" s="106"/>
      <c r="DF42" s="106"/>
      <c r="DG42" s="105"/>
      <c r="DH42" s="105"/>
      <c r="DI42" s="105"/>
      <c r="DJ42" s="105"/>
      <c r="DK42" s="104"/>
      <c r="DL42" s="104"/>
    </row>
    <row r="43" ht="12.0" customHeight="1">
      <c r="A43" s="104"/>
      <c r="B43" s="124" t="s">
        <v>126</v>
      </c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6">
        <f t="shared" ref="P43:BA43" si="105">P41/P38</f>
        <v>0.06629834254</v>
      </c>
      <c r="Q43" s="126">
        <f t="shared" si="105"/>
        <v>0.07486631016</v>
      </c>
      <c r="R43" s="126">
        <f t="shared" si="105"/>
        <v>0.0829015544</v>
      </c>
      <c r="S43" s="126">
        <f t="shared" si="105"/>
        <v>0.09045226131</v>
      </c>
      <c r="T43" s="126">
        <f t="shared" si="105"/>
        <v>0.09756097561</v>
      </c>
      <c r="U43" s="126">
        <f t="shared" si="105"/>
        <v>0.1042654028</v>
      </c>
      <c r="V43" s="126">
        <f t="shared" si="105"/>
        <v>0.1121281465</v>
      </c>
      <c r="W43" s="126">
        <f t="shared" si="105"/>
        <v>0.1194690265</v>
      </c>
      <c r="X43" s="126">
        <f t="shared" si="105"/>
        <v>0.1263383298</v>
      </c>
      <c r="Y43" s="126">
        <f t="shared" si="105"/>
        <v>0.132780083</v>
      </c>
      <c r="Z43" s="126">
        <f t="shared" si="105"/>
        <v>0.138832998</v>
      </c>
      <c r="AA43" s="126">
        <f t="shared" si="105"/>
        <v>0.15234375</v>
      </c>
      <c r="AB43" s="126">
        <f t="shared" si="105"/>
        <v>0.15234375</v>
      </c>
      <c r="AC43" s="126">
        <f t="shared" si="105"/>
        <v>0.2045454545</v>
      </c>
      <c r="AD43" s="126">
        <f t="shared" si="105"/>
        <v>0.2279411765</v>
      </c>
      <c r="AE43" s="126">
        <f t="shared" si="105"/>
        <v>0.2464285714</v>
      </c>
      <c r="AF43" s="126">
        <f t="shared" si="105"/>
        <v>0.2673611111</v>
      </c>
      <c r="AG43" s="126">
        <f t="shared" si="105"/>
        <v>0.2939189189</v>
      </c>
      <c r="AH43" s="126">
        <f t="shared" si="105"/>
        <v>0.3026315789</v>
      </c>
      <c r="AI43" s="126">
        <f t="shared" si="105"/>
        <v>0.3269230769</v>
      </c>
      <c r="AJ43" s="126">
        <f t="shared" si="105"/>
        <v>0.35</v>
      </c>
      <c r="AK43" s="126">
        <f t="shared" si="105"/>
        <v>0.3567073171</v>
      </c>
      <c r="AL43" s="126">
        <f t="shared" si="105"/>
        <v>0.369047619</v>
      </c>
      <c r="AM43" s="126">
        <f t="shared" si="105"/>
        <v>0.3837209302</v>
      </c>
      <c r="AN43" s="126">
        <f t="shared" si="105"/>
        <v>0.4034090909</v>
      </c>
      <c r="AO43" s="126">
        <f t="shared" si="105"/>
        <v>0.4034090909</v>
      </c>
      <c r="AP43" s="126">
        <f t="shared" si="105"/>
        <v>0.4141274238</v>
      </c>
      <c r="AQ43" s="126">
        <f t="shared" si="105"/>
        <v>0.4243243243</v>
      </c>
      <c r="AR43" s="126">
        <f t="shared" si="105"/>
        <v>0.4340369393</v>
      </c>
      <c r="AS43" s="126">
        <f t="shared" si="105"/>
        <v>0.4432989691</v>
      </c>
      <c r="AT43" s="126">
        <f t="shared" si="105"/>
        <v>0.4521410579</v>
      </c>
      <c r="AU43" s="126">
        <f t="shared" si="105"/>
        <v>0.460591133</v>
      </c>
      <c r="AV43" s="126">
        <f t="shared" si="105"/>
        <v>0.4686746988</v>
      </c>
      <c r="AW43" s="126">
        <f t="shared" si="105"/>
        <v>0.4764150943</v>
      </c>
      <c r="AX43" s="126">
        <f t="shared" si="105"/>
        <v>0.4838337182</v>
      </c>
      <c r="AY43" s="126">
        <f t="shared" si="105"/>
        <v>0.4909502262</v>
      </c>
      <c r="AZ43" s="126">
        <f t="shared" si="105"/>
        <v>0.4977827051</v>
      </c>
      <c r="BA43" s="126">
        <f t="shared" si="105"/>
        <v>0.5043478261</v>
      </c>
      <c r="BB43" s="126">
        <f>BA43</f>
        <v>0.5043478261</v>
      </c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  <c r="CD43" s="105"/>
      <c r="CE43" s="105"/>
      <c r="CF43" s="105"/>
      <c r="CG43" s="105"/>
      <c r="CH43" s="105"/>
      <c r="CI43" s="105"/>
      <c r="CJ43" s="105"/>
      <c r="CK43" s="105"/>
      <c r="CL43" s="105"/>
      <c r="CM43" s="105"/>
      <c r="CN43" s="105"/>
      <c r="CO43" s="105"/>
      <c r="CP43" s="105"/>
      <c r="CQ43" s="105"/>
      <c r="CR43" s="105"/>
      <c r="CS43" s="105"/>
      <c r="CT43" s="105"/>
      <c r="CU43" s="105"/>
      <c r="CV43" s="105"/>
      <c r="CW43" s="105"/>
      <c r="CX43" s="105"/>
      <c r="CY43" s="105"/>
      <c r="CZ43" s="104"/>
      <c r="DA43" s="105"/>
      <c r="DB43" s="105"/>
      <c r="DC43" s="105"/>
      <c r="DD43" s="105"/>
      <c r="DE43" s="105"/>
      <c r="DF43" s="105"/>
      <c r="DG43" s="105"/>
      <c r="DH43" s="105"/>
      <c r="DI43" s="105"/>
      <c r="DJ43" s="105"/>
      <c r="DK43" s="104"/>
      <c r="DL43" s="104"/>
    </row>
    <row r="44" ht="15.0" customHeight="1">
      <c r="A44" s="107"/>
      <c r="B44" s="113" t="s">
        <v>128</v>
      </c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6"/>
      <c r="P44" s="235">
        <v>7.0</v>
      </c>
      <c r="Q44" s="235">
        <v>7.0</v>
      </c>
      <c r="R44" s="235">
        <v>7.0</v>
      </c>
      <c r="S44" s="235">
        <v>8.0</v>
      </c>
      <c r="T44" s="235">
        <v>8.0</v>
      </c>
      <c r="U44" s="235">
        <v>8.0</v>
      </c>
      <c r="V44" s="235">
        <v>10.0</v>
      </c>
      <c r="W44" s="237">
        <v>10.0</v>
      </c>
      <c r="X44" s="237">
        <v>10.0</v>
      </c>
      <c r="Y44" s="237">
        <v>12.0</v>
      </c>
      <c r="Z44" s="237">
        <v>12.0</v>
      </c>
      <c r="AA44" s="237">
        <v>12.0</v>
      </c>
      <c r="AB44" s="238"/>
      <c r="AC44" s="237">
        <v>16.0</v>
      </c>
      <c r="AD44" s="237">
        <v>20.0</v>
      </c>
      <c r="AE44" s="237">
        <v>24.0</v>
      </c>
      <c r="AF44" s="237">
        <v>26.0</v>
      </c>
      <c r="AG44" s="237">
        <v>29.0</v>
      </c>
      <c r="AH44" s="237">
        <v>32.0</v>
      </c>
      <c r="AI44" s="237">
        <v>35.0</v>
      </c>
      <c r="AJ44" s="237">
        <v>38.0</v>
      </c>
      <c r="AK44" s="237">
        <v>41.0</v>
      </c>
      <c r="AL44" s="237">
        <v>44.0</v>
      </c>
      <c r="AM44" s="237">
        <v>47.0</v>
      </c>
      <c r="AN44" s="237">
        <v>50.0</v>
      </c>
      <c r="AO44" s="238">
        <v>50.0</v>
      </c>
      <c r="AP44" s="237">
        <v>53.0</v>
      </c>
      <c r="AQ44" s="237">
        <v>56.0</v>
      </c>
      <c r="AR44" s="237">
        <v>59.0</v>
      </c>
      <c r="AS44" s="237">
        <v>62.0</v>
      </c>
      <c r="AT44" s="237"/>
      <c r="AU44" s="237"/>
      <c r="AV44" s="237"/>
      <c r="AW44" s="237"/>
      <c r="AX44" s="237"/>
      <c r="AY44" s="237"/>
      <c r="AZ44" s="237"/>
      <c r="BA44" s="237"/>
      <c r="BB44" s="238"/>
      <c r="BC44" s="105"/>
      <c r="BD44" s="105"/>
      <c r="BE44" s="105"/>
      <c r="BF44" s="105"/>
      <c r="BG44" s="105"/>
      <c r="BH44" s="105"/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  <c r="CB44" s="105"/>
      <c r="CC44" s="105"/>
      <c r="CD44" s="105"/>
      <c r="CE44" s="105"/>
      <c r="CF44" s="105"/>
      <c r="CG44" s="105"/>
      <c r="CH44" s="105"/>
      <c r="CI44" s="105"/>
      <c r="CJ44" s="105"/>
      <c r="CK44" s="105"/>
      <c r="CL44" s="105"/>
      <c r="CM44" s="105"/>
      <c r="CN44" s="105"/>
      <c r="CO44" s="105"/>
      <c r="CP44" s="105"/>
      <c r="CQ44" s="105"/>
      <c r="CR44" s="105"/>
      <c r="CS44" s="105"/>
      <c r="CT44" s="105"/>
      <c r="CU44" s="105"/>
      <c r="CV44" s="105"/>
      <c r="CW44" s="105"/>
      <c r="CX44" s="105"/>
      <c r="CY44" s="105"/>
      <c r="CZ44" s="107"/>
      <c r="DA44" s="107"/>
      <c r="DB44" s="107"/>
      <c r="DC44" s="107"/>
      <c r="DD44" s="107"/>
      <c r="DE44" s="107"/>
      <c r="DF44" s="107"/>
      <c r="DG44" s="107"/>
      <c r="DH44" s="107"/>
      <c r="DI44" s="107"/>
      <c r="DJ44" s="107"/>
      <c r="DK44" s="107"/>
      <c r="DL44" s="107"/>
    </row>
    <row r="45" ht="12.0" customHeight="1">
      <c r="A45" s="104"/>
      <c r="B45" s="113" t="s">
        <v>129</v>
      </c>
      <c r="C45" s="114">
        <v>7.0</v>
      </c>
      <c r="D45" s="114">
        <v>7.0</v>
      </c>
      <c r="E45" s="114">
        <v>7.0</v>
      </c>
      <c r="F45" s="114">
        <v>7.0</v>
      </c>
      <c r="G45" s="114">
        <v>7.0</v>
      </c>
      <c r="H45" s="114">
        <v>7.0</v>
      </c>
      <c r="I45" s="114">
        <v>7.0</v>
      </c>
      <c r="J45" s="114">
        <v>7.0</v>
      </c>
      <c r="K45" s="114">
        <v>7.0</v>
      </c>
      <c r="L45" s="114">
        <v>7.0</v>
      </c>
      <c r="M45" s="114">
        <v>7.0</v>
      </c>
      <c r="N45" s="114">
        <v>7.0</v>
      </c>
      <c r="O45" s="181">
        <f>N45</f>
        <v>7</v>
      </c>
      <c r="P45" s="114">
        <v>7.0</v>
      </c>
      <c r="Q45" s="114">
        <v>7.0</v>
      </c>
      <c r="R45" s="114">
        <v>7.0</v>
      </c>
      <c r="S45" s="114">
        <v>7.0</v>
      </c>
      <c r="T45" s="114">
        <v>7.0</v>
      </c>
      <c r="U45" s="114">
        <v>7.0</v>
      </c>
      <c r="V45" s="114">
        <v>8.0</v>
      </c>
      <c r="W45" s="114">
        <v>8.0</v>
      </c>
      <c r="X45" s="114">
        <v>8.0</v>
      </c>
      <c r="Y45" s="114">
        <v>12.0</v>
      </c>
      <c r="Z45" s="114">
        <v>12.0</v>
      </c>
      <c r="AA45" s="114">
        <v>12.0</v>
      </c>
      <c r="AB45" s="181">
        <f t="shared" ref="AB45:AB46" si="106">AA45</f>
        <v>12</v>
      </c>
      <c r="AC45" s="117">
        <v>13.0</v>
      </c>
      <c r="AD45" s="117">
        <v>15.0</v>
      </c>
      <c r="AE45" s="117">
        <v>17.0</v>
      </c>
      <c r="AF45" s="117">
        <v>19.0</v>
      </c>
      <c r="AG45" s="117">
        <v>20.0</v>
      </c>
      <c r="AH45" s="117">
        <v>24.0</v>
      </c>
      <c r="AI45" s="117">
        <v>24.0</v>
      </c>
      <c r="AJ45" s="117">
        <v>30.0</v>
      </c>
      <c r="AK45" s="117">
        <v>32.0</v>
      </c>
      <c r="AL45" s="117">
        <v>36.0</v>
      </c>
      <c r="AM45" s="117">
        <v>42.0</v>
      </c>
      <c r="AN45" s="117">
        <v>50.0</v>
      </c>
      <c r="AO45" s="182">
        <f t="shared" ref="AO45:AO46" si="107">AN45</f>
        <v>50</v>
      </c>
      <c r="AP45" s="117">
        <v>51.0</v>
      </c>
      <c r="AQ45" s="117">
        <v>52.0</v>
      </c>
      <c r="AR45" s="117">
        <v>57.0</v>
      </c>
      <c r="AS45" s="117">
        <v>57.0</v>
      </c>
      <c r="AT45" s="117">
        <v>60.0</v>
      </c>
      <c r="AU45" s="117">
        <v>67.0</v>
      </c>
      <c r="AV45" s="117"/>
      <c r="AW45" s="117"/>
      <c r="AX45" s="117"/>
      <c r="AY45" s="117"/>
      <c r="AZ45" s="117"/>
      <c r="BA45" s="117"/>
      <c r="BB45" s="182">
        <f>AU45</f>
        <v>67</v>
      </c>
      <c r="BC45" s="105"/>
      <c r="BD45" s="105"/>
      <c r="BE45" s="105"/>
      <c r="BF45" s="105"/>
      <c r="BG45" s="105"/>
      <c r="BH45" s="105"/>
      <c r="BI45" s="105"/>
      <c r="BJ45" s="105"/>
      <c r="BK45" s="105"/>
      <c r="BL45" s="105"/>
      <c r="BM45" s="105"/>
      <c r="BN45" s="105"/>
      <c r="BO45" s="105"/>
      <c r="BP45" s="105"/>
      <c r="BQ45" s="105"/>
      <c r="BR45" s="105"/>
      <c r="BS45" s="105"/>
      <c r="BT45" s="105"/>
      <c r="BU45" s="105"/>
      <c r="BV45" s="105"/>
      <c r="BW45" s="105"/>
      <c r="BX45" s="105"/>
      <c r="BY45" s="105"/>
      <c r="BZ45" s="105"/>
      <c r="CA45" s="105"/>
      <c r="CB45" s="105"/>
      <c r="CC45" s="105"/>
      <c r="CD45" s="105"/>
      <c r="CE45" s="105"/>
      <c r="CF45" s="105"/>
      <c r="CG45" s="105"/>
      <c r="CH45" s="105"/>
      <c r="CI45" s="105"/>
      <c r="CJ45" s="105"/>
      <c r="CK45" s="105"/>
      <c r="CL45" s="105"/>
      <c r="CM45" s="105"/>
      <c r="CN45" s="105"/>
      <c r="CO45" s="105"/>
      <c r="CP45" s="105"/>
      <c r="CQ45" s="105"/>
      <c r="CR45" s="105"/>
      <c r="CS45" s="105"/>
      <c r="CT45" s="105"/>
      <c r="CU45" s="105"/>
      <c r="CV45" s="105"/>
      <c r="CW45" s="105"/>
      <c r="CX45" s="105"/>
      <c r="CY45" s="105"/>
      <c r="CZ45" s="104"/>
      <c r="DA45" s="105"/>
      <c r="DB45" s="105"/>
      <c r="DC45" s="105"/>
      <c r="DD45" s="105"/>
      <c r="DE45" s="105"/>
      <c r="DF45" s="105"/>
      <c r="DG45" s="105"/>
      <c r="DH45" s="105"/>
      <c r="DI45" s="105"/>
      <c r="DJ45" s="105"/>
      <c r="DK45" s="104"/>
      <c r="DL45" s="104"/>
    </row>
    <row r="46" ht="12.0" customHeight="1">
      <c r="A46" s="104"/>
      <c r="B46" s="133" t="s">
        <v>130</v>
      </c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>
        <v>7.0</v>
      </c>
      <c r="Q46" s="239">
        <v>7.0</v>
      </c>
      <c r="R46" s="239">
        <v>7.0</v>
      </c>
      <c r="S46" s="239">
        <v>8.0</v>
      </c>
      <c r="T46" s="239">
        <v>8.0</v>
      </c>
      <c r="U46" s="239">
        <v>8.0</v>
      </c>
      <c r="V46" s="239">
        <v>10.0</v>
      </c>
      <c r="W46" s="239">
        <v>10.0</v>
      </c>
      <c r="X46" s="239">
        <v>10.0</v>
      </c>
      <c r="Y46" s="239">
        <v>12.0</v>
      </c>
      <c r="Z46" s="239">
        <v>12.0</v>
      </c>
      <c r="AA46" s="239">
        <v>12.0</v>
      </c>
      <c r="AB46" s="239">
        <f t="shared" si="106"/>
        <v>12</v>
      </c>
      <c r="AC46" s="239">
        <v>16.0</v>
      </c>
      <c r="AD46" s="239">
        <v>20.0</v>
      </c>
      <c r="AE46" s="240">
        <v>24.0</v>
      </c>
      <c r="AF46" s="240">
        <v>26.0</v>
      </c>
      <c r="AG46" s="240">
        <v>29.0</v>
      </c>
      <c r="AH46" s="240">
        <v>32.0</v>
      </c>
      <c r="AI46" s="240">
        <v>35.0</v>
      </c>
      <c r="AJ46" s="240">
        <v>38.0</v>
      </c>
      <c r="AK46" s="240">
        <v>41.0</v>
      </c>
      <c r="AL46" s="240">
        <v>44.0</v>
      </c>
      <c r="AM46" s="240">
        <v>47.0</v>
      </c>
      <c r="AN46" s="240">
        <v>50.0</v>
      </c>
      <c r="AO46" s="240">
        <f t="shared" si="107"/>
        <v>50</v>
      </c>
      <c r="AP46" s="240">
        <f t="shared" ref="AP46:AZ46" si="108">AO46+4</f>
        <v>54</v>
      </c>
      <c r="AQ46" s="240">
        <f t="shared" si="108"/>
        <v>58</v>
      </c>
      <c r="AR46" s="240">
        <f t="shared" si="108"/>
        <v>62</v>
      </c>
      <c r="AS46" s="240">
        <f t="shared" si="108"/>
        <v>66</v>
      </c>
      <c r="AT46" s="240">
        <f t="shared" si="108"/>
        <v>70</v>
      </c>
      <c r="AU46" s="240">
        <f t="shared" si="108"/>
        <v>74</v>
      </c>
      <c r="AV46" s="240">
        <f t="shared" si="108"/>
        <v>78</v>
      </c>
      <c r="AW46" s="240">
        <f t="shared" si="108"/>
        <v>82</v>
      </c>
      <c r="AX46" s="240">
        <f t="shared" si="108"/>
        <v>86</v>
      </c>
      <c r="AY46" s="240">
        <f t="shared" si="108"/>
        <v>90</v>
      </c>
      <c r="AZ46" s="240">
        <f t="shared" si="108"/>
        <v>94</v>
      </c>
      <c r="BA46" s="240">
        <f>AZ46+6</f>
        <v>100</v>
      </c>
      <c r="BB46" s="240">
        <f>BA46</f>
        <v>100</v>
      </c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  <c r="BM46" s="105"/>
      <c r="BN46" s="105"/>
      <c r="BO46" s="105"/>
      <c r="BP46" s="105"/>
      <c r="BQ46" s="105"/>
      <c r="BR46" s="105"/>
      <c r="BS46" s="105"/>
      <c r="BT46" s="105"/>
      <c r="BU46" s="105"/>
      <c r="BV46" s="105"/>
      <c r="BW46" s="105"/>
      <c r="BX46" s="105"/>
      <c r="BY46" s="105"/>
      <c r="BZ46" s="105"/>
      <c r="CA46" s="105"/>
      <c r="CB46" s="105"/>
      <c r="CC46" s="105"/>
      <c r="CD46" s="105"/>
      <c r="CE46" s="105"/>
      <c r="CF46" s="105"/>
      <c r="CG46" s="105"/>
      <c r="CH46" s="105"/>
      <c r="CI46" s="105"/>
      <c r="CJ46" s="105"/>
      <c r="CK46" s="105"/>
      <c r="CL46" s="105"/>
      <c r="CM46" s="105"/>
      <c r="CN46" s="105"/>
      <c r="CO46" s="105"/>
      <c r="CP46" s="105"/>
      <c r="CQ46" s="105"/>
      <c r="CR46" s="105"/>
      <c r="CS46" s="105"/>
      <c r="CT46" s="105"/>
      <c r="CU46" s="105"/>
      <c r="CV46" s="105"/>
      <c r="CW46" s="105"/>
      <c r="CX46" s="105"/>
      <c r="CY46" s="105"/>
      <c r="CZ46" s="104"/>
      <c r="DA46" s="105"/>
      <c r="DB46" s="105"/>
      <c r="DC46" s="105"/>
      <c r="DD46" s="105"/>
      <c r="DE46" s="105"/>
      <c r="DF46" s="105"/>
      <c r="DG46" s="105"/>
      <c r="DH46" s="105"/>
      <c r="DI46" s="105"/>
      <c r="DJ46" s="105"/>
      <c r="DK46" s="104"/>
      <c r="DL46" s="104"/>
    </row>
    <row r="47" ht="12.0" customHeight="1">
      <c r="A47" s="104"/>
      <c r="B47" s="120" t="s">
        <v>158</v>
      </c>
      <c r="C47" s="136">
        <f t="shared" ref="C47:N47" si="109">C45/C39</f>
        <v>0.004</v>
      </c>
      <c r="D47" s="136">
        <f t="shared" si="109"/>
        <v>0.004</v>
      </c>
      <c r="E47" s="136">
        <f t="shared" si="109"/>
        <v>0.004</v>
      </c>
      <c r="F47" s="136">
        <f t="shared" si="109"/>
        <v>0.004</v>
      </c>
      <c r="G47" s="136">
        <f t="shared" si="109"/>
        <v>0.004</v>
      </c>
      <c r="H47" s="136">
        <f t="shared" si="109"/>
        <v>0.004</v>
      </c>
      <c r="I47" s="136">
        <f t="shared" si="109"/>
        <v>0.004</v>
      </c>
      <c r="J47" s="136">
        <f t="shared" si="109"/>
        <v>0.004</v>
      </c>
      <c r="K47" s="136">
        <f t="shared" si="109"/>
        <v>0.004</v>
      </c>
      <c r="L47" s="136">
        <f t="shared" si="109"/>
        <v>0.004</v>
      </c>
      <c r="M47" s="136">
        <f t="shared" si="109"/>
        <v>0.004</v>
      </c>
      <c r="N47" s="136">
        <f t="shared" si="109"/>
        <v>0.004</v>
      </c>
      <c r="O47" s="136"/>
      <c r="P47" s="136">
        <f t="shared" ref="P47:AA47" si="110">P45/P39</f>
        <v>0.003899721448</v>
      </c>
      <c r="Q47" s="136">
        <f t="shared" si="110"/>
        <v>0.003818876159</v>
      </c>
      <c r="R47" s="136">
        <f t="shared" si="110"/>
        <v>0.003705664373</v>
      </c>
      <c r="S47" s="136">
        <f t="shared" si="110"/>
        <v>0.003582395087</v>
      </c>
      <c r="T47" s="136">
        <f t="shared" si="110"/>
        <v>0.003453379378</v>
      </c>
      <c r="U47" s="136">
        <f t="shared" si="110"/>
        <v>0.003330161751</v>
      </c>
      <c r="V47" s="136">
        <f t="shared" si="110"/>
        <v>0.003666361137</v>
      </c>
      <c r="W47" s="230">
        <f t="shared" si="110"/>
        <v>0.003490401396</v>
      </c>
      <c r="X47" s="230">
        <f t="shared" si="110"/>
        <v>0.003359932801</v>
      </c>
      <c r="Y47" s="230">
        <f t="shared" si="110"/>
        <v>0.004901960784</v>
      </c>
      <c r="Z47" s="230">
        <f t="shared" si="110"/>
        <v>0.004784688995</v>
      </c>
      <c r="AA47" s="230">
        <f t="shared" si="110"/>
        <v>0.004487658938</v>
      </c>
      <c r="AB47" s="230"/>
      <c r="AC47" s="230">
        <f t="shared" ref="AC47:AE47" si="111">AC45/AC39</f>
        <v>0.004737609329</v>
      </c>
      <c r="AD47" s="230">
        <f t="shared" si="111"/>
        <v>0.005466472303</v>
      </c>
      <c r="AE47" s="230">
        <f t="shared" si="111"/>
        <v>0.006007067138</v>
      </c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05"/>
      <c r="BD47" s="105"/>
      <c r="BE47" s="105"/>
      <c r="BF47" s="105"/>
      <c r="BG47" s="105"/>
      <c r="BH47" s="105"/>
      <c r="BI47" s="105"/>
      <c r="BJ47" s="105"/>
      <c r="BK47" s="105"/>
      <c r="BL47" s="105"/>
      <c r="BM47" s="105"/>
      <c r="BN47" s="105"/>
      <c r="BO47" s="105"/>
      <c r="BP47" s="105"/>
      <c r="BQ47" s="105"/>
      <c r="BR47" s="105"/>
      <c r="BS47" s="105"/>
      <c r="BT47" s="105"/>
      <c r="BU47" s="105"/>
      <c r="BV47" s="105"/>
      <c r="BW47" s="105"/>
      <c r="BX47" s="105"/>
      <c r="BY47" s="105"/>
      <c r="BZ47" s="105"/>
      <c r="CA47" s="105"/>
      <c r="CB47" s="105"/>
      <c r="CC47" s="105"/>
      <c r="CD47" s="105"/>
      <c r="CE47" s="105"/>
      <c r="CF47" s="105"/>
      <c r="CG47" s="105"/>
      <c r="CH47" s="105"/>
      <c r="CI47" s="105"/>
      <c r="CJ47" s="105"/>
      <c r="CK47" s="105"/>
      <c r="CL47" s="105"/>
      <c r="CM47" s="105"/>
      <c r="CN47" s="105"/>
      <c r="CO47" s="105"/>
      <c r="CP47" s="105"/>
      <c r="CQ47" s="105"/>
      <c r="CR47" s="105"/>
      <c r="CS47" s="105"/>
      <c r="CT47" s="105"/>
      <c r="CU47" s="105"/>
      <c r="CV47" s="105"/>
      <c r="CW47" s="105"/>
      <c r="CX47" s="105"/>
      <c r="CY47" s="105"/>
      <c r="CZ47" s="104"/>
      <c r="DA47" s="105"/>
      <c r="DB47" s="105"/>
      <c r="DC47" s="105"/>
      <c r="DD47" s="105"/>
      <c r="DE47" s="105"/>
      <c r="DF47" s="105"/>
      <c r="DG47" s="105"/>
      <c r="DH47" s="105"/>
      <c r="DI47" s="105"/>
      <c r="DJ47" s="105"/>
      <c r="DK47" s="104"/>
      <c r="DL47" s="104"/>
    </row>
    <row r="48" ht="12.0" customHeight="1">
      <c r="A48" s="104"/>
      <c r="B48" s="124" t="s">
        <v>132</v>
      </c>
      <c r="C48" s="241"/>
      <c r="D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241"/>
      <c r="S48" s="241"/>
      <c r="T48" s="241"/>
      <c r="U48" s="241"/>
      <c r="V48" s="241"/>
      <c r="W48" s="242"/>
      <c r="X48" s="242"/>
      <c r="Y48" s="242"/>
      <c r="Z48" s="242"/>
      <c r="AA48" s="242"/>
      <c r="AB48" s="242"/>
      <c r="AC48" s="242"/>
      <c r="AD48" s="242"/>
      <c r="AE48" s="242"/>
      <c r="AF48" s="242"/>
      <c r="AG48" s="242"/>
      <c r="AH48" s="242"/>
      <c r="AI48" s="242"/>
      <c r="AJ48" s="242"/>
      <c r="AK48" s="242"/>
      <c r="AL48" s="242"/>
      <c r="AM48" s="242"/>
      <c r="AN48" s="242"/>
      <c r="AO48" s="242"/>
      <c r="AP48" s="242"/>
      <c r="AQ48" s="242"/>
      <c r="AR48" s="242"/>
      <c r="AS48" s="242"/>
      <c r="AT48" s="242"/>
      <c r="AU48" s="242"/>
      <c r="AV48" s="242"/>
      <c r="AW48" s="242"/>
      <c r="AX48" s="242"/>
      <c r="AY48" s="242"/>
      <c r="AZ48" s="242"/>
      <c r="BA48" s="242"/>
      <c r="BB48" s="242"/>
      <c r="BC48" s="105"/>
      <c r="BD48" s="105"/>
      <c r="BE48" s="105"/>
      <c r="BF48" s="105"/>
      <c r="BG48" s="105"/>
      <c r="BH48" s="105"/>
      <c r="BI48" s="105"/>
      <c r="BJ48" s="105"/>
      <c r="BK48" s="105"/>
      <c r="BL48" s="105"/>
      <c r="BM48" s="105"/>
      <c r="BN48" s="105"/>
      <c r="BO48" s="105"/>
      <c r="BP48" s="105"/>
      <c r="BQ48" s="105"/>
      <c r="BR48" s="105"/>
      <c r="BS48" s="105"/>
      <c r="BT48" s="105"/>
      <c r="BU48" s="105"/>
      <c r="BV48" s="105"/>
      <c r="BW48" s="105"/>
      <c r="BX48" s="105"/>
      <c r="BY48" s="105"/>
      <c r="BZ48" s="105"/>
      <c r="CA48" s="105"/>
      <c r="CB48" s="105"/>
      <c r="CC48" s="105"/>
      <c r="CD48" s="105"/>
      <c r="CE48" s="105"/>
      <c r="CF48" s="105"/>
      <c r="CG48" s="105"/>
      <c r="CH48" s="105"/>
      <c r="CI48" s="105"/>
      <c r="CJ48" s="105"/>
      <c r="CK48" s="105"/>
      <c r="CL48" s="105"/>
      <c r="CM48" s="105"/>
      <c r="CN48" s="105"/>
      <c r="CO48" s="105"/>
      <c r="CP48" s="105"/>
      <c r="CQ48" s="105"/>
      <c r="CR48" s="105"/>
      <c r="CS48" s="105"/>
      <c r="CT48" s="105"/>
      <c r="CU48" s="105"/>
      <c r="CV48" s="105"/>
      <c r="CW48" s="105"/>
      <c r="CX48" s="105"/>
      <c r="CY48" s="105"/>
      <c r="CZ48" s="104"/>
      <c r="DA48" s="105"/>
      <c r="DB48" s="105"/>
      <c r="DC48" s="105"/>
      <c r="DD48" s="105"/>
      <c r="DE48" s="105"/>
      <c r="DF48" s="105"/>
      <c r="DG48" s="105"/>
      <c r="DH48" s="105"/>
      <c r="DI48" s="105"/>
      <c r="DJ48" s="105"/>
      <c r="DK48" s="104"/>
      <c r="DL48" s="104"/>
    </row>
    <row r="49" ht="12.0" customHeight="1">
      <c r="A49" s="104"/>
      <c r="B49" s="104"/>
      <c r="C49" s="243"/>
      <c r="D49" s="243"/>
      <c r="E49" s="243"/>
      <c r="F49" s="243"/>
      <c r="G49" s="243"/>
      <c r="H49" s="243"/>
      <c r="I49" s="243"/>
      <c r="J49" s="243"/>
      <c r="K49" s="243"/>
      <c r="L49" s="243"/>
      <c r="M49" s="243"/>
      <c r="N49" s="243"/>
      <c r="O49" s="243"/>
      <c r="P49" s="243"/>
      <c r="Q49" s="243"/>
      <c r="R49" s="243"/>
      <c r="S49" s="243"/>
      <c r="T49" s="243"/>
      <c r="U49" s="243"/>
      <c r="V49" s="243"/>
      <c r="W49" s="243"/>
      <c r="X49" s="243"/>
      <c r="Y49" s="243"/>
      <c r="Z49" s="243"/>
      <c r="AA49" s="243"/>
      <c r="AB49" s="243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05"/>
      <c r="BN49" s="105"/>
      <c r="BO49" s="105"/>
      <c r="BP49" s="105"/>
      <c r="BQ49" s="105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  <c r="CB49" s="105"/>
      <c r="CC49" s="105"/>
      <c r="CD49" s="105"/>
      <c r="CE49" s="105"/>
      <c r="CF49" s="105"/>
      <c r="CG49" s="105"/>
      <c r="CH49" s="105"/>
      <c r="CI49" s="105"/>
      <c r="CJ49" s="105"/>
      <c r="CK49" s="105"/>
      <c r="CL49" s="105"/>
      <c r="CM49" s="105"/>
      <c r="CN49" s="105"/>
      <c r="CO49" s="105"/>
      <c r="CP49" s="105"/>
      <c r="CQ49" s="105"/>
      <c r="CR49" s="105"/>
      <c r="CS49" s="105"/>
      <c r="CT49" s="105"/>
      <c r="CU49" s="105"/>
      <c r="CV49" s="105"/>
      <c r="CW49" s="105"/>
      <c r="CX49" s="105"/>
      <c r="CY49" s="105"/>
      <c r="CZ49" s="104"/>
      <c r="DA49" s="105"/>
      <c r="DB49" s="105"/>
      <c r="DC49" s="105"/>
      <c r="DD49" s="105"/>
      <c r="DE49" s="105"/>
      <c r="DF49" s="105"/>
      <c r="DG49" s="105"/>
      <c r="DH49" s="105"/>
      <c r="DI49" s="105"/>
      <c r="DJ49" s="105"/>
      <c r="DK49" s="104"/>
      <c r="DL49" s="104"/>
    </row>
    <row r="50" ht="12.0" customHeight="1">
      <c r="A50" s="104"/>
      <c r="B50" s="36" t="s">
        <v>133</v>
      </c>
      <c r="C50" s="243"/>
      <c r="D50" s="244"/>
      <c r="E50" s="244"/>
      <c r="F50" s="244"/>
      <c r="G50" s="244"/>
      <c r="H50" s="244"/>
      <c r="I50" s="244"/>
      <c r="J50" s="244"/>
      <c r="K50" s="244"/>
      <c r="L50" s="244"/>
      <c r="M50" s="243"/>
      <c r="N50" s="243"/>
      <c r="O50" s="243"/>
      <c r="P50" s="243"/>
      <c r="Q50" s="243"/>
      <c r="R50" s="243"/>
      <c r="S50" s="243"/>
      <c r="T50" s="243"/>
      <c r="U50" s="243"/>
      <c r="V50" s="243"/>
      <c r="W50" s="243"/>
      <c r="X50" s="245"/>
      <c r="Y50" s="243"/>
      <c r="Z50" s="243"/>
      <c r="AA50" s="243"/>
      <c r="AB50" s="243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82">
        <f t="shared" ref="BB50:BB52" si="112">SUM(AP50:BA50)</f>
        <v>0</v>
      </c>
      <c r="BC50" s="105"/>
      <c r="BD50" s="105"/>
      <c r="BE50" s="105"/>
      <c r="BF50" s="105"/>
      <c r="BG50" s="105"/>
      <c r="BH50" s="105"/>
      <c r="BI50" s="105"/>
      <c r="BJ50" s="105"/>
      <c r="BK50" s="105"/>
      <c r="BL50" s="105"/>
      <c r="BM50" s="105"/>
      <c r="BN50" s="105"/>
      <c r="BO50" s="105"/>
      <c r="BP50" s="105"/>
      <c r="BQ50" s="105"/>
      <c r="BR50" s="105"/>
      <c r="BS50" s="105"/>
      <c r="BT50" s="105"/>
      <c r="BU50" s="105"/>
      <c r="BV50" s="105"/>
      <c r="BW50" s="105"/>
      <c r="BX50" s="105"/>
      <c r="BY50" s="105"/>
      <c r="BZ50" s="105"/>
      <c r="CA50" s="105"/>
      <c r="CB50" s="105"/>
      <c r="CC50" s="105"/>
      <c r="CD50" s="105"/>
      <c r="CE50" s="105"/>
      <c r="CF50" s="105"/>
      <c r="CG50" s="105"/>
      <c r="CH50" s="105"/>
      <c r="CI50" s="105"/>
      <c r="CJ50" s="105"/>
      <c r="CK50" s="105"/>
      <c r="CL50" s="105"/>
      <c r="CM50" s="105"/>
      <c r="CN50" s="105"/>
      <c r="CO50" s="105"/>
      <c r="CP50" s="105"/>
      <c r="CQ50" s="105"/>
      <c r="CR50" s="105"/>
      <c r="CS50" s="105"/>
      <c r="CT50" s="105"/>
      <c r="CU50" s="105"/>
      <c r="CV50" s="105"/>
      <c r="CW50" s="105"/>
      <c r="CX50" s="105"/>
      <c r="CY50" s="105"/>
      <c r="CZ50" s="104"/>
      <c r="DA50" s="105"/>
      <c r="DB50" s="105"/>
      <c r="DC50" s="105"/>
      <c r="DD50" s="105"/>
      <c r="DE50" s="105"/>
      <c r="DF50" s="105"/>
      <c r="DG50" s="105"/>
      <c r="DH50" s="105"/>
      <c r="DI50" s="105"/>
      <c r="DJ50" s="105"/>
      <c r="DK50" s="104"/>
      <c r="DL50" s="104"/>
    </row>
    <row r="51" ht="12.0" customHeight="1">
      <c r="A51" s="104"/>
      <c r="B51" s="36" t="s">
        <v>134</v>
      </c>
      <c r="C51" s="243"/>
      <c r="D51" s="244"/>
      <c r="E51" s="244"/>
      <c r="F51" s="244"/>
      <c r="G51" s="244"/>
      <c r="H51" s="244"/>
      <c r="I51" s="246"/>
      <c r="J51" s="247"/>
      <c r="K51" s="244"/>
      <c r="L51" s="244"/>
      <c r="M51" s="243"/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  <c r="AA51" s="243"/>
      <c r="AB51" s="243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 t="s">
        <v>163</v>
      </c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82">
        <f t="shared" si="112"/>
        <v>0</v>
      </c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4"/>
      <c r="DA51" s="105"/>
      <c r="DB51" s="105"/>
      <c r="DC51" s="105"/>
      <c r="DD51" s="105"/>
      <c r="DE51" s="105"/>
      <c r="DF51" s="105"/>
      <c r="DG51" s="105"/>
      <c r="DH51" s="105"/>
      <c r="DI51" s="105"/>
      <c r="DJ51" s="105"/>
      <c r="DK51" s="104"/>
      <c r="DL51" s="104"/>
    </row>
    <row r="52" ht="12.0" customHeight="1">
      <c r="A52" s="104"/>
      <c r="B52" s="36" t="s">
        <v>135</v>
      </c>
      <c r="C52" s="243"/>
      <c r="D52" s="244"/>
      <c r="E52" s="244"/>
      <c r="F52" s="244"/>
      <c r="G52" s="244"/>
      <c r="H52" s="244"/>
      <c r="I52" s="246"/>
      <c r="J52" s="246"/>
      <c r="K52" s="244"/>
      <c r="L52" s="244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  <c r="AB52" s="243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82">
        <f t="shared" si="112"/>
        <v>0</v>
      </c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  <c r="CD52" s="105"/>
      <c r="CE52" s="105"/>
      <c r="CF52" s="105"/>
      <c r="CG52" s="105"/>
      <c r="CH52" s="105"/>
      <c r="CI52" s="105"/>
      <c r="CJ52" s="105"/>
      <c r="CK52" s="105"/>
      <c r="CL52" s="105"/>
      <c r="CM52" s="105"/>
      <c r="CN52" s="105"/>
      <c r="CO52" s="105"/>
      <c r="CP52" s="105"/>
      <c r="CQ52" s="105"/>
      <c r="CR52" s="105"/>
      <c r="CS52" s="105"/>
      <c r="CT52" s="105"/>
      <c r="CU52" s="105"/>
      <c r="CV52" s="105"/>
      <c r="CW52" s="105"/>
      <c r="CX52" s="105"/>
      <c r="CY52" s="105"/>
      <c r="CZ52" s="104"/>
      <c r="DA52" s="105"/>
      <c r="DB52" s="105"/>
      <c r="DC52" s="105"/>
      <c r="DD52" s="105"/>
      <c r="DE52" s="105"/>
      <c r="DF52" s="105"/>
      <c r="DG52" s="105"/>
      <c r="DH52" s="105"/>
      <c r="DI52" s="105"/>
      <c r="DJ52" s="105"/>
      <c r="DK52" s="104"/>
      <c r="DL52" s="104"/>
    </row>
    <row r="53" ht="12.0" customHeight="1">
      <c r="A53" s="104"/>
      <c r="B53" s="107"/>
      <c r="C53" s="243"/>
      <c r="D53" s="244"/>
      <c r="E53" s="244"/>
      <c r="F53" s="244"/>
      <c r="G53" s="244"/>
      <c r="H53" s="244"/>
      <c r="I53" s="244"/>
      <c r="J53" s="244"/>
      <c r="K53" s="244"/>
      <c r="L53" s="244"/>
      <c r="M53" s="243"/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3"/>
      <c r="AA53" s="243"/>
      <c r="AB53" s="243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5"/>
      <c r="BE53" s="105"/>
      <c r="BF53" s="105"/>
      <c r="BG53" s="105"/>
      <c r="BH53" s="105"/>
      <c r="BI53" s="105"/>
      <c r="BJ53" s="105"/>
      <c r="BK53" s="105"/>
      <c r="BL53" s="105"/>
      <c r="BM53" s="105"/>
      <c r="BN53" s="105"/>
      <c r="BO53" s="105"/>
      <c r="BP53" s="105"/>
      <c r="BQ53" s="105"/>
      <c r="BR53" s="105"/>
      <c r="BS53" s="105"/>
      <c r="BT53" s="105"/>
      <c r="BU53" s="105"/>
      <c r="BV53" s="105"/>
      <c r="BW53" s="105"/>
      <c r="BX53" s="105"/>
      <c r="BY53" s="105"/>
      <c r="BZ53" s="105"/>
      <c r="CA53" s="105"/>
      <c r="CB53" s="105"/>
      <c r="CC53" s="105"/>
      <c r="CD53" s="105"/>
      <c r="CE53" s="105"/>
      <c r="CF53" s="105"/>
      <c r="CG53" s="105"/>
      <c r="CH53" s="105"/>
      <c r="CI53" s="105"/>
      <c r="CJ53" s="105"/>
      <c r="CK53" s="105"/>
      <c r="CL53" s="105"/>
      <c r="CM53" s="105"/>
      <c r="CN53" s="105"/>
      <c r="CO53" s="105"/>
      <c r="CP53" s="105"/>
      <c r="CQ53" s="105"/>
      <c r="CR53" s="105"/>
      <c r="CS53" s="105"/>
      <c r="CT53" s="105"/>
      <c r="CU53" s="105"/>
      <c r="CV53" s="105"/>
      <c r="CW53" s="105"/>
      <c r="CX53" s="105"/>
      <c r="CY53" s="105"/>
      <c r="CZ53" s="104"/>
      <c r="DA53" s="105"/>
      <c r="DB53" s="105"/>
      <c r="DC53" s="105"/>
      <c r="DD53" s="105"/>
      <c r="DE53" s="105"/>
      <c r="DF53" s="105"/>
      <c r="DG53" s="105"/>
      <c r="DH53" s="105"/>
      <c r="DI53" s="105"/>
      <c r="DJ53" s="105"/>
      <c r="DK53" s="104"/>
      <c r="DL53" s="104"/>
    </row>
    <row r="54" ht="12.0" customHeight="1">
      <c r="A54" s="104"/>
      <c r="B54" s="107"/>
      <c r="C54" s="243"/>
      <c r="D54" s="244"/>
      <c r="E54" s="248"/>
      <c r="F54" s="249"/>
      <c r="G54" s="250"/>
      <c r="H54" s="244"/>
      <c r="I54" s="244"/>
      <c r="J54" s="244"/>
      <c r="K54" s="244"/>
      <c r="L54" s="244"/>
      <c r="M54" s="243"/>
      <c r="N54" s="243"/>
      <c r="O54" s="243"/>
      <c r="P54" s="243"/>
      <c r="Q54" s="243"/>
      <c r="R54" s="243"/>
      <c r="S54" s="243"/>
      <c r="T54" s="243"/>
      <c r="U54" s="243"/>
      <c r="V54" s="243"/>
      <c r="W54" s="243"/>
      <c r="X54" s="243"/>
      <c r="Y54" s="243"/>
      <c r="Z54" s="243"/>
      <c r="AA54" s="243"/>
      <c r="AB54" s="243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5"/>
      <c r="BI54" s="105"/>
      <c r="BJ54" s="105"/>
      <c r="BK54" s="105"/>
      <c r="BL54" s="105"/>
      <c r="BM54" s="105"/>
      <c r="BN54" s="105"/>
      <c r="BO54" s="105"/>
      <c r="BP54" s="105"/>
      <c r="BQ54" s="105"/>
      <c r="BR54" s="105"/>
      <c r="BS54" s="105"/>
      <c r="BT54" s="105"/>
      <c r="BU54" s="105"/>
      <c r="BV54" s="105"/>
      <c r="BW54" s="105"/>
      <c r="BX54" s="105"/>
      <c r="BY54" s="105"/>
      <c r="BZ54" s="105"/>
      <c r="CA54" s="105"/>
      <c r="CB54" s="105"/>
      <c r="CC54" s="105"/>
      <c r="CD54" s="105"/>
      <c r="CE54" s="105"/>
      <c r="CF54" s="105"/>
      <c r="CG54" s="105"/>
      <c r="CH54" s="105"/>
      <c r="CI54" s="105"/>
      <c r="CJ54" s="105"/>
      <c r="CK54" s="105"/>
      <c r="CL54" s="105"/>
      <c r="CM54" s="105"/>
      <c r="CN54" s="105"/>
      <c r="CO54" s="105"/>
      <c r="CP54" s="105"/>
      <c r="CQ54" s="105"/>
      <c r="CR54" s="105"/>
      <c r="CS54" s="105"/>
      <c r="CT54" s="105"/>
      <c r="CU54" s="105"/>
      <c r="CV54" s="105"/>
      <c r="CW54" s="105"/>
      <c r="CX54" s="105"/>
      <c r="CY54" s="105"/>
      <c r="CZ54" s="104"/>
      <c r="DA54" s="105"/>
      <c r="DB54" s="105"/>
      <c r="DC54" s="105"/>
      <c r="DD54" s="105"/>
      <c r="DE54" s="105"/>
      <c r="DF54" s="105"/>
      <c r="DG54" s="105"/>
      <c r="DH54" s="105"/>
      <c r="DI54" s="105"/>
      <c r="DJ54" s="105"/>
      <c r="DK54" s="104"/>
      <c r="DL54" s="104"/>
    </row>
    <row r="55" ht="12.0" customHeight="1">
      <c r="A55" s="104"/>
      <c r="B55" s="104"/>
      <c r="C55" s="243"/>
      <c r="D55" s="244"/>
      <c r="E55" s="244"/>
      <c r="F55" s="244"/>
      <c r="G55" s="244"/>
      <c r="H55" s="244"/>
      <c r="I55" s="244"/>
      <c r="J55" s="244"/>
      <c r="K55" s="244"/>
      <c r="L55" s="244"/>
      <c r="M55" s="243"/>
      <c r="N55" s="243"/>
      <c r="O55" s="243"/>
      <c r="P55" s="243"/>
      <c r="Q55" s="243"/>
      <c r="R55" s="243"/>
      <c r="S55" s="243"/>
      <c r="T55" s="243"/>
      <c r="U55" s="243"/>
      <c r="V55" s="243"/>
      <c r="W55" s="243"/>
      <c r="X55" s="243"/>
      <c r="Y55" s="243"/>
      <c r="Z55" s="243"/>
      <c r="AA55" s="243"/>
      <c r="AB55" s="243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05"/>
      <c r="BD55" s="105"/>
      <c r="BE55" s="105"/>
      <c r="BF55" s="105"/>
      <c r="BG55" s="105"/>
      <c r="BH55" s="105"/>
      <c r="BI55" s="105"/>
      <c r="BJ55" s="105"/>
      <c r="BK55" s="105"/>
      <c r="BL55" s="105"/>
      <c r="BM55" s="105"/>
      <c r="BN55" s="105"/>
      <c r="BO55" s="105"/>
      <c r="BP55" s="105"/>
      <c r="BQ55" s="105"/>
      <c r="BR55" s="105"/>
      <c r="BS55" s="105"/>
      <c r="BT55" s="105"/>
      <c r="BU55" s="105"/>
      <c r="BV55" s="105"/>
      <c r="BW55" s="105"/>
      <c r="BX55" s="105"/>
      <c r="BY55" s="105"/>
      <c r="BZ55" s="105"/>
      <c r="CA55" s="105"/>
      <c r="CB55" s="105"/>
      <c r="CC55" s="105"/>
      <c r="CD55" s="105"/>
      <c r="CE55" s="105"/>
      <c r="CF55" s="105"/>
      <c r="CG55" s="105"/>
      <c r="CH55" s="105"/>
      <c r="CI55" s="105"/>
      <c r="CJ55" s="105"/>
      <c r="CK55" s="105"/>
      <c r="CL55" s="105"/>
      <c r="CM55" s="105"/>
      <c r="CN55" s="105"/>
      <c r="CO55" s="105"/>
      <c r="CP55" s="105"/>
      <c r="CQ55" s="105"/>
      <c r="CR55" s="105"/>
      <c r="CS55" s="105"/>
      <c r="CT55" s="105"/>
      <c r="CU55" s="105"/>
      <c r="CV55" s="105"/>
      <c r="CW55" s="105"/>
      <c r="CX55" s="105"/>
      <c r="CY55" s="105"/>
      <c r="CZ55" s="104"/>
      <c r="DA55" s="105"/>
      <c r="DB55" s="105"/>
      <c r="DC55" s="105"/>
      <c r="DD55" s="105"/>
      <c r="DE55" s="105"/>
      <c r="DF55" s="105"/>
      <c r="DG55" s="105"/>
      <c r="DH55" s="105"/>
      <c r="DI55" s="105"/>
      <c r="DJ55" s="105"/>
      <c r="DK55" s="104"/>
      <c r="DL55" s="104"/>
    </row>
    <row r="56" ht="12.0" customHeight="1">
      <c r="A56" s="104"/>
      <c r="B56" s="104"/>
      <c r="C56" s="243"/>
      <c r="D56" s="244"/>
      <c r="E56" s="244"/>
      <c r="F56" s="244"/>
      <c r="G56" s="244"/>
      <c r="H56" s="244"/>
      <c r="I56" s="244"/>
      <c r="J56" s="244"/>
      <c r="K56" s="244"/>
      <c r="L56" s="244"/>
      <c r="M56" s="243"/>
      <c r="N56" s="243"/>
      <c r="O56" s="243"/>
      <c r="P56" s="243"/>
      <c r="Q56" s="243"/>
      <c r="R56" s="243"/>
      <c r="S56" s="243"/>
      <c r="T56" s="243"/>
      <c r="U56" s="243"/>
      <c r="V56" s="243"/>
      <c r="W56" s="243"/>
      <c r="X56" s="243"/>
      <c r="Y56" s="243"/>
      <c r="Z56" s="243"/>
      <c r="AA56" s="243"/>
      <c r="AB56" s="243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  <c r="BJ56" s="105"/>
      <c r="BK56" s="105"/>
      <c r="BL56" s="105"/>
      <c r="BM56" s="105"/>
      <c r="BN56" s="105"/>
      <c r="BO56" s="105"/>
      <c r="BP56" s="105"/>
      <c r="BQ56" s="105"/>
      <c r="BR56" s="105"/>
      <c r="BS56" s="105"/>
      <c r="BT56" s="105"/>
      <c r="BU56" s="105"/>
      <c r="BV56" s="105"/>
      <c r="BW56" s="105"/>
      <c r="BX56" s="105"/>
      <c r="BY56" s="105"/>
      <c r="BZ56" s="105"/>
      <c r="CA56" s="105"/>
      <c r="CB56" s="105"/>
      <c r="CC56" s="105"/>
      <c r="CD56" s="105"/>
      <c r="CE56" s="105"/>
      <c r="CF56" s="105"/>
      <c r="CG56" s="105"/>
      <c r="CH56" s="105"/>
      <c r="CI56" s="105"/>
      <c r="CJ56" s="105"/>
      <c r="CK56" s="105"/>
      <c r="CL56" s="105"/>
      <c r="CM56" s="105"/>
      <c r="CN56" s="105"/>
      <c r="CO56" s="105"/>
      <c r="CP56" s="105"/>
      <c r="CQ56" s="105"/>
      <c r="CR56" s="105"/>
      <c r="CS56" s="105"/>
      <c r="CT56" s="105"/>
      <c r="CU56" s="105"/>
      <c r="CV56" s="105"/>
      <c r="CW56" s="105"/>
      <c r="CX56" s="105"/>
      <c r="CY56" s="105"/>
      <c r="CZ56" s="104"/>
      <c r="DA56" s="105"/>
      <c r="DB56" s="105"/>
      <c r="DC56" s="105"/>
      <c r="DD56" s="105"/>
      <c r="DE56" s="105"/>
      <c r="DF56" s="105"/>
      <c r="DG56" s="105"/>
      <c r="DH56" s="105"/>
      <c r="DI56" s="105"/>
      <c r="DJ56" s="105"/>
      <c r="DK56" s="104"/>
      <c r="DL56" s="104"/>
    </row>
    <row r="57" ht="12.0" customHeight="1">
      <c r="A57" s="104"/>
      <c r="B57" s="104"/>
      <c r="C57" s="243"/>
      <c r="D57" s="243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3"/>
      <c r="S57" s="243"/>
      <c r="T57" s="243"/>
      <c r="U57" s="243"/>
      <c r="V57" s="243"/>
      <c r="W57" s="243"/>
      <c r="X57" s="243"/>
      <c r="Y57" s="243"/>
      <c r="Z57" s="243"/>
      <c r="AA57" s="243"/>
      <c r="AB57" s="243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4"/>
      <c r="DA57" s="105"/>
      <c r="DB57" s="105"/>
      <c r="DC57" s="105"/>
      <c r="DD57" s="105"/>
      <c r="DE57" s="105"/>
      <c r="DF57" s="105"/>
      <c r="DG57" s="105"/>
      <c r="DH57" s="105"/>
      <c r="DI57" s="105"/>
      <c r="DJ57" s="105"/>
      <c r="DK57" s="104"/>
      <c r="DL57" s="104"/>
    </row>
    <row r="58" ht="12.0" customHeight="1">
      <c r="A58" s="104"/>
      <c r="B58" s="104"/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U58" s="243"/>
      <c r="V58" s="243"/>
      <c r="W58" s="243"/>
      <c r="X58" s="243"/>
      <c r="Y58" s="243"/>
      <c r="Z58" s="243"/>
      <c r="AA58" s="243"/>
      <c r="AB58" s="243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5"/>
      <c r="AW58" s="105"/>
      <c r="AX58" s="105"/>
      <c r="AY58" s="105"/>
      <c r="AZ58" s="105"/>
      <c r="BA58" s="105"/>
      <c r="BB58" s="105"/>
      <c r="BC58" s="105"/>
      <c r="BD58" s="105"/>
      <c r="BE58" s="105"/>
      <c r="BF58" s="105"/>
      <c r="BG58" s="105"/>
      <c r="BH58" s="105"/>
      <c r="BI58" s="105"/>
      <c r="BJ58" s="105"/>
      <c r="BK58" s="105"/>
      <c r="BL58" s="105"/>
      <c r="BM58" s="105"/>
      <c r="BN58" s="105"/>
      <c r="BO58" s="105"/>
      <c r="BP58" s="105"/>
      <c r="BQ58" s="105"/>
      <c r="BR58" s="105"/>
      <c r="BS58" s="105"/>
      <c r="BT58" s="105"/>
      <c r="BU58" s="105"/>
      <c r="BV58" s="105"/>
      <c r="BW58" s="105"/>
      <c r="BX58" s="105"/>
      <c r="BY58" s="105"/>
      <c r="BZ58" s="105"/>
      <c r="CA58" s="105"/>
      <c r="CB58" s="105"/>
      <c r="CC58" s="105"/>
      <c r="CD58" s="105"/>
      <c r="CE58" s="105"/>
      <c r="CF58" s="105"/>
      <c r="CG58" s="105"/>
      <c r="CH58" s="105"/>
      <c r="CI58" s="105"/>
      <c r="CJ58" s="105"/>
      <c r="CK58" s="105"/>
      <c r="CL58" s="105"/>
      <c r="CM58" s="105"/>
      <c r="CN58" s="105"/>
      <c r="CO58" s="105"/>
      <c r="CP58" s="105"/>
      <c r="CQ58" s="105"/>
      <c r="CR58" s="105"/>
      <c r="CS58" s="105"/>
      <c r="CT58" s="105"/>
      <c r="CU58" s="105"/>
      <c r="CV58" s="105"/>
      <c r="CW58" s="105"/>
      <c r="CX58" s="105"/>
      <c r="CY58" s="105"/>
      <c r="CZ58" s="104"/>
      <c r="DA58" s="105"/>
      <c r="DB58" s="105"/>
      <c r="DC58" s="105"/>
      <c r="DD58" s="105"/>
      <c r="DE58" s="105"/>
      <c r="DF58" s="105"/>
      <c r="DG58" s="105"/>
      <c r="DH58" s="105"/>
      <c r="DI58" s="105"/>
      <c r="DJ58" s="105"/>
      <c r="DK58" s="104"/>
      <c r="DL58" s="104"/>
    </row>
    <row r="59" ht="12.0" customHeight="1">
      <c r="A59" s="104"/>
      <c r="B59" s="104"/>
      <c r="C59" s="243"/>
      <c r="D59" s="243"/>
      <c r="E59" s="243"/>
      <c r="F59" s="243"/>
      <c r="G59" s="243"/>
      <c r="H59" s="243"/>
      <c r="I59" s="243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243"/>
      <c r="Y59" s="243"/>
      <c r="Z59" s="243"/>
      <c r="AA59" s="243"/>
      <c r="AB59" s="243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  <c r="AV59" s="105"/>
      <c r="AW59" s="105"/>
      <c r="AX59" s="105"/>
      <c r="AY59" s="105"/>
      <c r="AZ59" s="105"/>
      <c r="BA59" s="105"/>
      <c r="BB59" s="105"/>
      <c r="BC59" s="105"/>
      <c r="BD59" s="105"/>
      <c r="BE59" s="105"/>
      <c r="BF59" s="105"/>
      <c r="BG59" s="105"/>
      <c r="BH59" s="105"/>
      <c r="BI59" s="105"/>
      <c r="BJ59" s="105"/>
      <c r="BK59" s="105"/>
      <c r="BL59" s="105"/>
      <c r="BM59" s="105"/>
      <c r="BN59" s="105"/>
      <c r="BO59" s="105"/>
      <c r="BP59" s="105"/>
      <c r="BQ59" s="105"/>
      <c r="BR59" s="105"/>
      <c r="BS59" s="105"/>
      <c r="BT59" s="105"/>
      <c r="BU59" s="105"/>
      <c r="BV59" s="105"/>
      <c r="BW59" s="105"/>
      <c r="BX59" s="105"/>
      <c r="BY59" s="105"/>
      <c r="BZ59" s="105"/>
      <c r="CA59" s="105"/>
      <c r="CB59" s="105"/>
      <c r="CC59" s="105"/>
      <c r="CD59" s="105"/>
      <c r="CE59" s="105"/>
      <c r="CF59" s="105"/>
      <c r="CG59" s="105"/>
      <c r="CH59" s="105"/>
      <c r="CI59" s="105"/>
      <c r="CJ59" s="105"/>
      <c r="CK59" s="105"/>
      <c r="CL59" s="105"/>
      <c r="CM59" s="105"/>
      <c r="CN59" s="105"/>
      <c r="CO59" s="105"/>
      <c r="CP59" s="105"/>
      <c r="CQ59" s="105"/>
      <c r="CR59" s="105"/>
      <c r="CS59" s="105"/>
      <c r="CT59" s="105"/>
      <c r="CU59" s="105"/>
      <c r="CV59" s="105"/>
      <c r="CW59" s="105"/>
      <c r="CX59" s="105"/>
      <c r="CY59" s="105"/>
      <c r="CZ59" s="104"/>
      <c r="DA59" s="105"/>
      <c r="DB59" s="105"/>
      <c r="DC59" s="105"/>
      <c r="DD59" s="105"/>
      <c r="DE59" s="105"/>
      <c r="DF59" s="105"/>
      <c r="DG59" s="105"/>
      <c r="DH59" s="105"/>
      <c r="DI59" s="105"/>
      <c r="DJ59" s="105"/>
      <c r="DK59" s="104"/>
      <c r="DL59" s="104"/>
    </row>
    <row r="60" ht="12.0" customHeight="1">
      <c r="A60" s="104"/>
      <c r="B60" s="104"/>
      <c r="C60" s="243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/>
      <c r="Z60" s="243"/>
      <c r="AA60" s="243"/>
      <c r="AB60" s="243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5"/>
      <c r="BD60" s="105"/>
      <c r="BE60" s="105"/>
      <c r="BF60" s="105"/>
      <c r="BG60" s="105"/>
      <c r="BH60" s="105"/>
      <c r="BI60" s="105"/>
      <c r="BJ60" s="105"/>
      <c r="BK60" s="105"/>
      <c r="BL60" s="105"/>
      <c r="BM60" s="105"/>
      <c r="BN60" s="105"/>
      <c r="BO60" s="105"/>
      <c r="BP60" s="105"/>
      <c r="BQ60" s="105"/>
      <c r="BR60" s="105"/>
      <c r="BS60" s="105"/>
      <c r="BT60" s="105"/>
      <c r="BU60" s="105"/>
      <c r="BV60" s="105"/>
      <c r="BW60" s="105"/>
      <c r="BX60" s="105"/>
      <c r="BY60" s="105"/>
      <c r="BZ60" s="105"/>
      <c r="CA60" s="105"/>
      <c r="CB60" s="105"/>
      <c r="CC60" s="105"/>
      <c r="CD60" s="105"/>
      <c r="CE60" s="105"/>
      <c r="CF60" s="105"/>
      <c r="CG60" s="105"/>
      <c r="CH60" s="105"/>
      <c r="CI60" s="105"/>
      <c r="CJ60" s="105"/>
      <c r="CK60" s="105"/>
      <c r="CL60" s="105"/>
      <c r="CM60" s="105"/>
      <c r="CN60" s="105"/>
      <c r="CO60" s="105"/>
      <c r="CP60" s="105"/>
      <c r="CQ60" s="105"/>
      <c r="CR60" s="105"/>
      <c r="CS60" s="105"/>
      <c r="CT60" s="105"/>
      <c r="CU60" s="105"/>
      <c r="CV60" s="105"/>
      <c r="CW60" s="105"/>
      <c r="CX60" s="105"/>
      <c r="CY60" s="105"/>
      <c r="CZ60" s="104"/>
      <c r="DA60" s="105"/>
      <c r="DB60" s="105"/>
      <c r="DC60" s="105"/>
      <c r="DD60" s="105"/>
      <c r="DE60" s="105"/>
      <c r="DF60" s="105"/>
      <c r="DG60" s="105"/>
      <c r="DH60" s="105"/>
      <c r="DI60" s="105"/>
      <c r="DJ60" s="105"/>
      <c r="DK60" s="104"/>
      <c r="DL60" s="104"/>
    </row>
    <row r="61" ht="12.0" customHeight="1">
      <c r="A61" s="104"/>
      <c r="B61" s="104"/>
      <c r="C61" s="243"/>
      <c r="D61" s="243"/>
      <c r="E61" s="243"/>
      <c r="F61" s="243"/>
      <c r="G61" s="243"/>
      <c r="H61" s="243"/>
      <c r="I61" s="243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43"/>
      <c r="AA61" s="243"/>
      <c r="AB61" s="243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  <c r="BJ61" s="105"/>
      <c r="BK61" s="105"/>
      <c r="BL61" s="105"/>
      <c r="BM61" s="105"/>
      <c r="BN61" s="105"/>
      <c r="BO61" s="105"/>
      <c r="BP61" s="105"/>
      <c r="BQ61" s="105"/>
      <c r="BR61" s="105"/>
      <c r="BS61" s="105"/>
      <c r="BT61" s="105"/>
      <c r="BU61" s="105"/>
      <c r="BV61" s="105"/>
      <c r="BW61" s="105"/>
      <c r="BX61" s="105"/>
      <c r="BY61" s="105"/>
      <c r="BZ61" s="105"/>
      <c r="CA61" s="105"/>
      <c r="CB61" s="105"/>
      <c r="CC61" s="105"/>
      <c r="CD61" s="105"/>
      <c r="CE61" s="105"/>
      <c r="CF61" s="105"/>
      <c r="CG61" s="105"/>
      <c r="CH61" s="105"/>
      <c r="CI61" s="105"/>
      <c r="CJ61" s="105"/>
      <c r="CK61" s="105"/>
      <c r="CL61" s="105"/>
      <c r="CM61" s="105"/>
      <c r="CN61" s="105"/>
      <c r="CO61" s="105"/>
      <c r="CP61" s="105"/>
      <c r="CQ61" s="105"/>
      <c r="CR61" s="105"/>
      <c r="CS61" s="105"/>
      <c r="CT61" s="105"/>
      <c r="CU61" s="105"/>
      <c r="CV61" s="105"/>
      <c r="CW61" s="105"/>
      <c r="CX61" s="105"/>
      <c r="CY61" s="105"/>
      <c r="CZ61" s="104"/>
      <c r="DA61" s="105"/>
      <c r="DB61" s="105"/>
      <c r="DC61" s="105"/>
      <c r="DD61" s="105"/>
      <c r="DE61" s="105"/>
      <c r="DF61" s="105"/>
      <c r="DG61" s="105"/>
      <c r="DH61" s="105"/>
      <c r="DI61" s="105"/>
      <c r="DJ61" s="105"/>
      <c r="DK61" s="104"/>
      <c r="DL61" s="104"/>
    </row>
    <row r="62" ht="12.0" customHeight="1">
      <c r="A62" s="104"/>
      <c r="B62" s="104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3"/>
      <c r="AA62" s="243"/>
      <c r="AB62" s="243"/>
      <c r="AC62" s="105"/>
      <c r="AD62" s="105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05"/>
      <c r="AW62" s="105"/>
      <c r="AX62" s="105"/>
      <c r="AY62" s="105"/>
      <c r="AZ62" s="105"/>
      <c r="BA62" s="105"/>
      <c r="BB62" s="105"/>
      <c r="BC62" s="105"/>
      <c r="BD62" s="105"/>
      <c r="BE62" s="105"/>
      <c r="BF62" s="105"/>
      <c r="BG62" s="105"/>
      <c r="BH62" s="105"/>
      <c r="BI62" s="105"/>
      <c r="BJ62" s="105"/>
      <c r="BK62" s="105"/>
      <c r="BL62" s="105"/>
      <c r="BM62" s="105"/>
      <c r="BN62" s="105"/>
      <c r="BO62" s="105"/>
      <c r="BP62" s="105"/>
      <c r="BQ62" s="105"/>
      <c r="BR62" s="105"/>
      <c r="BS62" s="105"/>
      <c r="BT62" s="105"/>
      <c r="BU62" s="105"/>
      <c r="BV62" s="105"/>
      <c r="BW62" s="105"/>
      <c r="BX62" s="105"/>
      <c r="BY62" s="105"/>
      <c r="BZ62" s="105"/>
      <c r="CA62" s="105"/>
      <c r="CB62" s="105"/>
      <c r="CC62" s="105"/>
      <c r="CD62" s="105"/>
      <c r="CE62" s="105"/>
      <c r="CF62" s="105"/>
      <c r="CG62" s="105"/>
      <c r="CH62" s="105"/>
      <c r="CI62" s="105"/>
      <c r="CJ62" s="105"/>
      <c r="CK62" s="105"/>
      <c r="CL62" s="105"/>
      <c r="CM62" s="105"/>
      <c r="CN62" s="105"/>
      <c r="CO62" s="105"/>
      <c r="CP62" s="105"/>
      <c r="CQ62" s="105"/>
      <c r="CR62" s="105"/>
      <c r="CS62" s="105"/>
      <c r="CT62" s="105"/>
      <c r="CU62" s="105"/>
      <c r="CV62" s="105"/>
      <c r="CW62" s="105"/>
      <c r="CX62" s="105"/>
      <c r="CY62" s="105"/>
      <c r="CZ62" s="104"/>
      <c r="DA62" s="105"/>
      <c r="DB62" s="105"/>
      <c r="DC62" s="105"/>
      <c r="DD62" s="105"/>
      <c r="DE62" s="105"/>
      <c r="DF62" s="105"/>
      <c r="DG62" s="105"/>
      <c r="DH62" s="105"/>
      <c r="DI62" s="105"/>
      <c r="DJ62" s="105"/>
      <c r="DK62" s="104"/>
      <c r="DL62" s="104"/>
    </row>
    <row r="63" ht="12.0" customHeight="1">
      <c r="A63" s="104"/>
      <c r="B63" s="104"/>
      <c r="C63" s="243"/>
      <c r="D63" s="243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43"/>
      <c r="AA63" s="243"/>
      <c r="AB63" s="243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5"/>
      <c r="AW63" s="105"/>
      <c r="AX63" s="105"/>
      <c r="AY63" s="105"/>
      <c r="AZ63" s="105"/>
      <c r="BA63" s="105"/>
      <c r="BB63" s="105"/>
      <c r="BC63" s="105"/>
      <c r="BD63" s="105"/>
      <c r="BE63" s="105"/>
      <c r="BF63" s="105"/>
      <c r="BG63" s="105"/>
      <c r="BH63" s="105"/>
      <c r="BI63" s="105"/>
      <c r="BJ63" s="105"/>
      <c r="BK63" s="105"/>
      <c r="BL63" s="105"/>
      <c r="BM63" s="105"/>
      <c r="BN63" s="105"/>
      <c r="BO63" s="105"/>
      <c r="BP63" s="105"/>
      <c r="BQ63" s="105"/>
      <c r="BR63" s="105"/>
      <c r="BS63" s="105"/>
      <c r="BT63" s="105"/>
      <c r="BU63" s="105"/>
      <c r="BV63" s="105"/>
      <c r="BW63" s="105"/>
      <c r="BX63" s="105"/>
      <c r="BY63" s="105"/>
      <c r="BZ63" s="105"/>
      <c r="CA63" s="105"/>
      <c r="CB63" s="105"/>
      <c r="CC63" s="105"/>
      <c r="CD63" s="105"/>
      <c r="CE63" s="105"/>
      <c r="CF63" s="105"/>
      <c r="CG63" s="105"/>
      <c r="CH63" s="105"/>
      <c r="CI63" s="105"/>
      <c r="CJ63" s="105"/>
      <c r="CK63" s="105"/>
      <c r="CL63" s="105"/>
      <c r="CM63" s="105"/>
      <c r="CN63" s="105"/>
      <c r="CO63" s="105"/>
      <c r="CP63" s="105"/>
      <c r="CQ63" s="105"/>
      <c r="CR63" s="105"/>
      <c r="CS63" s="105"/>
      <c r="CT63" s="105"/>
      <c r="CU63" s="105"/>
      <c r="CV63" s="105"/>
      <c r="CW63" s="105"/>
      <c r="CX63" s="105"/>
      <c r="CY63" s="105"/>
      <c r="CZ63" s="104"/>
      <c r="DA63" s="105"/>
      <c r="DB63" s="105"/>
      <c r="DC63" s="105"/>
      <c r="DD63" s="105"/>
      <c r="DE63" s="105"/>
      <c r="DF63" s="105"/>
      <c r="DG63" s="105"/>
      <c r="DH63" s="105"/>
      <c r="DI63" s="105"/>
      <c r="DJ63" s="105"/>
      <c r="DK63" s="104"/>
      <c r="DL63" s="104"/>
    </row>
    <row r="64" ht="12.0" customHeight="1">
      <c r="A64" s="104"/>
      <c r="B64" s="104"/>
      <c r="C64" s="243"/>
      <c r="D64" s="243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3"/>
      <c r="AA64" s="243"/>
      <c r="AB64" s="243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5"/>
      <c r="BI64" s="105"/>
      <c r="BJ64" s="105"/>
      <c r="BK64" s="105"/>
      <c r="BL64" s="105"/>
      <c r="BM64" s="105"/>
      <c r="BN64" s="105"/>
      <c r="BO64" s="105"/>
      <c r="BP64" s="105"/>
      <c r="BQ64" s="105"/>
      <c r="BR64" s="105"/>
      <c r="BS64" s="105"/>
      <c r="BT64" s="105"/>
      <c r="BU64" s="105"/>
      <c r="BV64" s="105"/>
      <c r="BW64" s="105"/>
      <c r="BX64" s="105"/>
      <c r="BY64" s="105"/>
      <c r="BZ64" s="105"/>
      <c r="CA64" s="105"/>
      <c r="CB64" s="105"/>
      <c r="CC64" s="105"/>
      <c r="CD64" s="105"/>
      <c r="CE64" s="105"/>
      <c r="CF64" s="105"/>
      <c r="CG64" s="105"/>
      <c r="CH64" s="105"/>
      <c r="CI64" s="105"/>
      <c r="CJ64" s="105"/>
      <c r="CK64" s="105"/>
      <c r="CL64" s="105"/>
      <c r="CM64" s="105"/>
      <c r="CN64" s="105"/>
      <c r="CO64" s="105"/>
      <c r="CP64" s="105"/>
      <c r="CQ64" s="105"/>
      <c r="CR64" s="105"/>
      <c r="CS64" s="105"/>
      <c r="CT64" s="105"/>
      <c r="CU64" s="105"/>
      <c r="CV64" s="105"/>
      <c r="CW64" s="105"/>
      <c r="CX64" s="105"/>
      <c r="CY64" s="105"/>
      <c r="CZ64" s="104"/>
      <c r="DA64" s="105"/>
      <c r="DB64" s="105"/>
      <c r="DC64" s="105"/>
      <c r="DD64" s="105"/>
      <c r="DE64" s="105"/>
      <c r="DF64" s="105"/>
      <c r="DG64" s="105"/>
      <c r="DH64" s="105"/>
      <c r="DI64" s="105"/>
      <c r="DJ64" s="105"/>
      <c r="DK64" s="104"/>
      <c r="DL64" s="104"/>
    </row>
    <row r="65" ht="12.0" customHeight="1">
      <c r="A65" s="104"/>
      <c r="B65" s="104"/>
      <c r="C65" s="243"/>
      <c r="D65" s="243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43"/>
      <c r="AA65" s="243"/>
      <c r="AB65" s="243"/>
      <c r="AC65" s="105"/>
      <c r="AD65" s="105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105"/>
      <c r="AW65" s="105"/>
      <c r="AX65" s="105"/>
      <c r="AY65" s="105"/>
      <c r="AZ65" s="105"/>
      <c r="BA65" s="105"/>
      <c r="BB65" s="105"/>
      <c r="BC65" s="105"/>
      <c r="BD65" s="105"/>
      <c r="BE65" s="105"/>
      <c r="BF65" s="105"/>
      <c r="BG65" s="105"/>
      <c r="BH65" s="105"/>
      <c r="BI65" s="105"/>
      <c r="BJ65" s="105"/>
      <c r="BK65" s="105"/>
      <c r="BL65" s="105"/>
      <c r="BM65" s="105"/>
      <c r="BN65" s="105"/>
      <c r="BO65" s="105"/>
      <c r="BP65" s="105"/>
      <c r="BQ65" s="105"/>
      <c r="BR65" s="105"/>
      <c r="BS65" s="105"/>
      <c r="BT65" s="105"/>
      <c r="BU65" s="105"/>
      <c r="BV65" s="105"/>
      <c r="BW65" s="105"/>
      <c r="BX65" s="105"/>
      <c r="BY65" s="105"/>
      <c r="BZ65" s="105"/>
      <c r="CA65" s="105"/>
      <c r="CB65" s="105"/>
      <c r="CC65" s="105"/>
      <c r="CD65" s="105"/>
      <c r="CE65" s="105"/>
      <c r="CF65" s="105"/>
      <c r="CG65" s="105"/>
      <c r="CH65" s="105"/>
      <c r="CI65" s="105"/>
      <c r="CJ65" s="105"/>
      <c r="CK65" s="105"/>
      <c r="CL65" s="105"/>
      <c r="CM65" s="105"/>
      <c r="CN65" s="105"/>
      <c r="CO65" s="105"/>
      <c r="CP65" s="105"/>
      <c r="CQ65" s="105"/>
      <c r="CR65" s="105"/>
      <c r="CS65" s="105"/>
      <c r="CT65" s="105"/>
      <c r="CU65" s="105"/>
      <c r="CV65" s="105"/>
      <c r="CW65" s="105"/>
      <c r="CX65" s="105"/>
      <c r="CY65" s="105"/>
      <c r="CZ65" s="104"/>
      <c r="DA65" s="105"/>
      <c r="DB65" s="105"/>
      <c r="DC65" s="105"/>
      <c r="DD65" s="105"/>
      <c r="DE65" s="105"/>
      <c r="DF65" s="105"/>
      <c r="DG65" s="105"/>
      <c r="DH65" s="105"/>
      <c r="DI65" s="105"/>
      <c r="DJ65" s="105"/>
      <c r="DK65" s="104"/>
      <c r="DL65" s="104"/>
    </row>
    <row r="66" ht="12.0" customHeight="1">
      <c r="A66" s="104"/>
      <c r="B66" s="104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43"/>
      <c r="AA66" s="243"/>
      <c r="AB66" s="243"/>
      <c r="AC66" s="105"/>
      <c r="AD66" s="105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105"/>
      <c r="AW66" s="105"/>
      <c r="AX66" s="105"/>
      <c r="AY66" s="105"/>
      <c r="AZ66" s="105"/>
      <c r="BA66" s="105"/>
      <c r="BB66" s="105"/>
      <c r="BC66" s="105"/>
      <c r="BD66" s="105"/>
      <c r="BE66" s="105"/>
      <c r="BF66" s="105"/>
      <c r="BG66" s="105"/>
      <c r="BH66" s="105"/>
      <c r="BI66" s="105"/>
      <c r="BJ66" s="105"/>
      <c r="BK66" s="105"/>
      <c r="BL66" s="105"/>
      <c r="BM66" s="105"/>
      <c r="BN66" s="105"/>
      <c r="BO66" s="105"/>
      <c r="BP66" s="105"/>
      <c r="BQ66" s="105"/>
      <c r="BR66" s="105"/>
      <c r="BS66" s="105"/>
      <c r="BT66" s="105"/>
      <c r="BU66" s="105"/>
      <c r="BV66" s="105"/>
      <c r="BW66" s="105"/>
      <c r="BX66" s="105"/>
      <c r="BY66" s="105"/>
      <c r="BZ66" s="105"/>
      <c r="CA66" s="105"/>
      <c r="CB66" s="105"/>
      <c r="CC66" s="105"/>
      <c r="CD66" s="105"/>
      <c r="CE66" s="105"/>
      <c r="CF66" s="105"/>
      <c r="CG66" s="105"/>
      <c r="CH66" s="105"/>
      <c r="CI66" s="105"/>
      <c r="CJ66" s="105"/>
      <c r="CK66" s="105"/>
      <c r="CL66" s="105"/>
      <c r="CM66" s="105"/>
      <c r="CN66" s="105"/>
      <c r="CO66" s="105"/>
      <c r="CP66" s="105"/>
      <c r="CQ66" s="105"/>
      <c r="CR66" s="105"/>
      <c r="CS66" s="105"/>
      <c r="CT66" s="105"/>
      <c r="CU66" s="105"/>
      <c r="CV66" s="105"/>
      <c r="CW66" s="105"/>
      <c r="CX66" s="105"/>
      <c r="CY66" s="105"/>
      <c r="CZ66" s="104"/>
      <c r="DA66" s="105"/>
      <c r="DB66" s="105"/>
      <c r="DC66" s="105"/>
      <c r="DD66" s="105"/>
      <c r="DE66" s="105"/>
      <c r="DF66" s="105"/>
      <c r="DG66" s="105"/>
      <c r="DH66" s="105"/>
      <c r="DI66" s="105"/>
      <c r="DJ66" s="105"/>
      <c r="DK66" s="104"/>
      <c r="DL66" s="104"/>
    </row>
    <row r="67" ht="12.0" customHeight="1">
      <c r="A67" s="104"/>
      <c r="B67" s="104"/>
      <c r="C67" s="243"/>
      <c r="D67" s="243"/>
      <c r="E67" s="243"/>
      <c r="F67" s="243"/>
      <c r="G67" s="243"/>
      <c r="H67" s="243"/>
      <c r="I67" s="243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3"/>
      <c r="AA67" s="243"/>
      <c r="AB67" s="243"/>
      <c r="AC67" s="105"/>
      <c r="AD67" s="105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105"/>
      <c r="AW67" s="105"/>
      <c r="AX67" s="105"/>
      <c r="AY67" s="105"/>
      <c r="AZ67" s="105"/>
      <c r="BA67" s="105"/>
      <c r="BB67" s="105"/>
      <c r="BC67" s="105"/>
      <c r="BD67" s="105"/>
      <c r="BE67" s="105"/>
      <c r="BF67" s="105"/>
      <c r="BG67" s="105"/>
      <c r="BH67" s="105"/>
      <c r="BI67" s="105"/>
      <c r="BJ67" s="105"/>
      <c r="BK67" s="105"/>
      <c r="BL67" s="105"/>
      <c r="BM67" s="105"/>
      <c r="BN67" s="105"/>
      <c r="BO67" s="105"/>
      <c r="BP67" s="105"/>
      <c r="BQ67" s="105"/>
      <c r="BR67" s="105"/>
      <c r="BS67" s="105"/>
      <c r="BT67" s="105"/>
      <c r="BU67" s="105"/>
      <c r="BV67" s="105"/>
      <c r="BW67" s="105"/>
      <c r="BX67" s="105"/>
      <c r="BY67" s="105"/>
      <c r="BZ67" s="105"/>
      <c r="CA67" s="105"/>
      <c r="CB67" s="105"/>
      <c r="CC67" s="105"/>
      <c r="CD67" s="105"/>
      <c r="CE67" s="105"/>
      <c r="CF67" s="105"/>
      <c r="CG67" s="105"/>
      <c r="CH67" s="105"/>
      <c r="CI67" s="105"/>
      <c r="CJ67" s="105"/>
      <c r="CK67" s="105"/>
      <c r="CL67" s="105"/>
      <c r="CM67" s="105"/>
      <c r="CN67" s="105"/>
      <c r="CO67" s="105"/>
      <c r="CP67" s="105"/>
      <c r="CQ67" s="105"/>
      <c r="CR67" s="105"/>
      <c r="CS67" s="105"/>
      <c r="CT67" s="105"/>
      <c r="CU67" s="105"/>
      <c r="CV67" s="105"/>
      <c r="CW67" s="105"/>
      <c r="CX67" s="105"/>
      <c r="CY67" s="105"/>
      <c r="CZ67" s="104"/>
      <c r="DA67" s="105"/>
      <c r="DB67" s="105"/>
      <c r="DC67" s="105"/>
      <c r="DD67" s="105"/>
      <c r="DE67" s="105"/>
      <c r="DF67" s="105"/>
      <c r="DG67" s="105"/>
      <c r="DH67" s="105"/>
      <c r="DI67" s="105"/>
      <c r="DJ67" s="105"/>
      <c r="DK67" s="104"/>
      <c r="DL67" s="104"/>
    </row>
    <row r="68" ht="12.0" customHeight="1">
      <c r="A68" s="104"/>
      <c r="B68" s="104"/>
      <c r="C68" s="243"/>
      <c r="D68" s="243"/>
      <c r="E68" s="243"/>
      <c r="F68" s="243"/>
      <c r="G68" s="243"/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43"/>
      <c r="AA68" s="243"/>
      <c r="AB68" s="243"/>
      <c r="AC68" s="105"/>
      <c r="AD68" s="105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  <c r="BC68" s="105"/>
      <c r="BD68" s="105"/>
      <c r="BE68" s="105"/>
      <c r="BF68" s="105"/>
      <c r="BG68" s="105"/>
      <c r="BH68" s="105"/>
      <c r="BI68" s="105"/>
      <c r="BJ68" s="105"/>
      <c r="BK68" s="105"/>
      <c r="BL68" s="105"/>
      <c r="BM68" s="105"/>
      <c r="BN68" s="105"/>
      <c r="BO68" s="105"/>
      <c r="BP68" s="105"/>
      <c r="BQ68" s="105"/>
      <c r="BR68" s="105"/>
      <c r="BS68" s="105"/>
      <c r="BT68" s="105"/>
      <c r="BU68" s="105"/>
      <c r="BV68" s="105"/>
      <c r="BW68" s="105"/>
      <c r="BX68" s="105"/>
      <c r="BY68" s="105"/>
      <c r="BZ68" s="105"/>
      <c r="CA68" s="105"/>
      <c r="CB68" s="105"/>
      <c r="CC68" s="105"/>
      <c r="CD68" s="105"/>
      <c r="CE68" s="105"/>
      <c r="CF68" s="105"/>
      <c r="CG68" s="105"/>
      <c r="CH68" s="105"/>
      <c r="CI68" s="105"/>
      <c r="CJ68" s="105"/>
      <c r="CK68" s="105"/>
      <c r="CL68" s="105"/>
      <c r="CM68" s="105"/>
      <c r="CN68" s="105"/>
      <c r="CO68" s="105"/>
      <c r="CP68" s="105"/>
      <c r="CQ68" s="105"/>
      <c r="CR68" s="105"/>
      <c r="CS68" s="105"/>
      <c r="CT68" s="105"/>
      <c r="CU68" s="105"/>
      <c r="CV68" s="105"/>
      <c r="CW68" s="105"/>
      <c r="CX68" s="105"/>
      <c r="CY68" s="105"/>
      <c r="CZ68" s="104"/>
      <c r="DA68" s="105"/>
      <c r="DB68" s="105"/>
      <c r="DC68" s="105"/>
      <c r="DD68" s="105"/>
      <c r="DE68" s="105"/>
      <c r="DF68" s="105"/>
      <c r="DG68" s="105"/>
      <c r="DH68" s="105"/>
      <c r="DI68" s="105"/>
      <c r="DJ68" s="105"/>
      <c r="DK68" s="104"/>
      <c r="DL68" s="104"/>
    </row>
    <row r="69" ht="12.0" customHeight="1">
      <c r="A69" s="104"/>
      <c r="B69" s="104"/>
      <c r="C69" s="243"/>
      <c r="D69" s="243"/>
      <c r="E69" s="243"/>
      <c r="F69" s="243"/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43"/>
      <c r="AA69" s="243"/>
      <c r="AB69" s="243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05"/>
      <c r="BF69" s="105"/>
      <c r="BG69" s="105"/>
      <c r="BH69" s="105"/>
      <c r="BI69" s="105"/>
      <c r="BJ69" s="105"/>
      <c r="BK69" s="105"/>
      <c r="BL69" s="105"/>
      <c r="BM69" s="105"/>
      <c r="BN69" s="105"/>
      <c r="BO69" s="105"/>
      <c r="BP69" s="105"/>
      <c r="BQ69" s="105"/>
      <c r="BR69" s="105"/>
      <c r="BS69" s="105"/>
      <c r="BT69" s="105"/>
      <c r="BU69" s="105"/>
      <c r="BV69" s="105"/>
      <c r="BW69" s="105"/>
      <c r="BX69" s="105"/>
      <c r="BY69" s="105"/>
      <c r="BZ69" s="105"/>
      <c r="CA69" s="105"/>
      <c r="CB69" s="105"/>
      <c r="CC69" s="105"/>
      <c r="CD69" s="105"/>
      <c r="CE69" s="105"/>
      <c r="CF69" s="105"/>
      <c r="CG69" s="105"/>
      <c r="CH69" s="105"/>
      <c r="CI69" s="105"/>
      <c r="CJ69" s="105"/>
      <c r="CK69" s="105"/>
      <c r="CL69" s="105"/>
      <c r="CM69" s="105"/>
      <c r="CN69" s="105"/>
      <c r="CO69" s="105"/>
      <c r="CP69" s="105"/>
      <c r="CQ69" s="105"/>
      <c r="CR69" s="105"/>
      <c r="CS69" s="105"/>
      <c r="CT69" s="105"/>
      <c r="CU69" s="105"/>
      <c r="CV69" s="105"/>
      <c r="CW69" s="105"/>
      <c r="CX69" s="105"/>
      <c r="CY69" s="105"/>
      <c r="CZ69" s="104"/>
      <c r="DA69" s="105"/>
      <c r="DB69" s="105"/>
      <c r="DC69" s="105"/>
      <c r="DD69" s="105"/>
      <c r="DE69" s="105"/>
      <c r="DF69" s="105"/>
      <c r="DG69" s="105"/>
      <c r="DH69" s="105"/>
      <c r="DI69" s="105"/>
      <c r="DJ69" s="105"/>
      <c r="DK69" s="104"/>
      <c r="DL69" s="104"/>
    </row>
    <row r="70" ht="12.0" customHeight="1">
      <c r="A70" s="104"/>
      <c r="B70" s="104"/>
      <c r="C70" s="243"/>
      <c r="D70" s="243"/>
      <c r="E70" s="243"/>
      <c r="F70" s="243"/>
      <c r="G70" s="243"/>
      <c r="H70" s="243"/>
      <c r="I70" s="243"/>
      <c r="J70" s="243"/>
      <c r="K70" s="243"/>
      <c r="L70" s="243"/>
      <c r="M70" s="243"/>
      <c r="N70" s="243"/>
      <c r="O70" s="243"/>
      <c r="P70" s="243"/>
      <c r="Q70" s="243"/>
      <c r="R70" s="243"/>
      <c r="S70" s="243"/>
      <c r="T70" s="243"/>
      <c r="U70" s="243"/>
      <c r="V70" s="243"/>
      <c r="W70" s="243"/>
      <c r="X70" s="243"/>
      <c r="Y70" s="243"/>
      <c r="Z70" s="243"/>
      <c r="AA70" s="243"/>
      <c r="AB70" s="243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  <c r="AV70" s="105"/>
      <c r="AW70" s="105"/>
      <c r="AX70" s="105"/>
      <c r="AY70" s="105"/>
      <c r="AZ70" s="105"/>
      <c r="BA70" s="105"/>
      <c r="BB70" s="105"/>
      <c r="BC70" s="105"/>
      <c r="BD70" s="105"/>
      <c r="BE70" s="105"/>
      <c r="BF70" s="105"/>
      <c r="BG70" s="105"/>
      <c r="BH70" s="105"/>
      <c r="BI70" s="105"/>
      <c r="BJ70" s="105"/>
      <c r="BK70" s="105"/>
      <c r="BL70" s="105"/>
      <c r="BM70" s="105"/>
      <c r="BN70" s="105"/>
      <c r="BO70" s="105"/>
      <c r="BP70" s="105"/>
      <c r="BQ70" s="105"/>
      <c r="BR70" s="105"/>
      <c r="BS70" s="105"/>
      <c r="BT70" s="105"/>
      <c r="BU70" s="105"/>
      <c r="BV70" s="105"/>
      <c r="BW70" s="105"/>
      <c r="BX70" s="105"/>
      <c r="BY70" s="105"/>
      <c r="BZ70" s="105"/>
      <c r="CA70" s="105"/>
      <c r="CB70" s="105"/>
      <c r="CC70" s="105"/>
      <c r="CD70" s="105"/>
      <c r="CE70" s="105"/>
      <c r="CF70" s="105"/>
      <c r="CG70" s="105"/>
      <c r="CH70" s="105"/>
      <c r="CI70" s="105"/>
      <c r="CJ70" s="105"/>
      <c r="CK70" s="105"/>
      <c r="CL70" s="105"/>
      <c r="CM70" s="105"/>
      <c r="CN70" s="105"/>
      <c r="CO70" s="105"/>
      <c r="CP70" s="105"/>
      <c r="CQ70" s="105"/>
      <c r="CR70" s="105"/>
      <c r="CS70" s="105"/>
      <c r="CT70" s="105"/>
      <c r="CU70" s="105"/>
      <c r="CV70" s="105"/>
      <c r="CW70" s="105"/>
      <c r="CX70" s="105"/>
      <c r="CY70" s="105"/>
      <c r="CZ70" s="104"/>
      <c r="DA70" s="105"/>
      <c r="DB70" s="105"/>
      <c r="DC70" s="105"/>
      <c r="DD70" s="105"/>
      <c r="DE70" s="105"/>
      <c r="DF70" s="105"/>
      <c r="DG70" s="105"/>
      <c r="DH70" s="105"/>
      <c r="DI70" s="105"/>
      <c r="DJ70" s="105"/>
      <c r="DK70" s="104"/>
      <c r="DL70" s="104"/>
    </row>
    <row r="71" ht="12.0" customHeight="1">
      <c r="A71" s="104"/>
      <c r="B71" s="104"/>
      <c r="C71" s="243"/>
      <c r="D71" s="243"/>
      <c r="E71" s="243"/>
      <c r="F71" s="243"/>
      <c r="G71" s="243"/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3"/>
      <c r="S71" s="243"/>
      <c r="T71" s="243"/>
      <c r="U71" s="243"/>
      <c r="V71" s="243"/>
      <c r="W71" s="243"/>
      <c r="X71" s="243"/>
      <c r="Y71" s="243"/>
      <c r="Z71" s="243"/>
      <c r="AA71" s="243"/>
      <c r="AB71" s="243"/>
      <c r="AC71" s="105"/>
      <c r="AD71" s="105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05"/>
      <c r="AW71" s="105"/>
      <c r="AX71" s="105"/>
      <c r="AY71" s="105"/>
      <c r="AZ71" s="105"/>
      <c r="BA71" s="105"/>
      <c r="BB71" s="105"/>
      <c r="BC71" s="105"/>
      <c r="BD71" s="105"/>
      <c r="BE71" s="105"/>
      <c r="BF71" s="105"/>
      <c r="BG71" s="105"/>
      <c r="BH71" s="105"/>
      <c r="BI71" s="105"/>
      <c r="BJ71" s="105"/>
      <c r="BK71" s="105"/>
      <c r="BL71" s="105"/>
      <c r="BM71" s="105"/>
      <c r="BN71" s="105"/>
      <c r="BO71" s="105"/>
      <c r="BP71" s="105"/>
      <c r="BQ71" s="105"/>
      <c r="BR71" s="105"/>
      <c r="BS71" s="105"/>
      <c r="BT71" s="105"/>
      <c r="BU71" s="105"/>
      <c r="BV71" s="105"/>
      <c r="BW71" s="105"/>
      <c r="BX71" s="105"/>
      <c r="BY71" s="105"/>
      <c r="BZ71" s="105"/>
      <c r="CA71" s="105"/>
      <c r="CB71" s="105"/>
      <c r="CC71" s="105"/>
      <c r="CD71" s="105"/>
      <c r="CE71" s="105"/>
      <c r="CF71" s="105"/>
      <c r="CG71" s="105"/>
      <c r="CH71" s="105"/>
      <c r="CI71" s="105"/>
      <c r="CJ71" s="105"/>
      <c r="CK71" s="105"/>
      <c r="CL71" s="105"/>
      <c r="CM71" s="105"/>
      <c r="CN71" s="105"/>
      <c r="CO71" s="105"/>
      <c r="CP71" s="105"/>
      <c r="CQ71" s="105"/>
      <c r="CR71" s="105"/>
      <c r="CS71" s="105"/>
      <c r="CT71" s="105"/>
      <c r="CU71" s="105"/>
      <c r="CV71" s="105"/>
      <c r="CW71" s="105"/>
      <c r="CX71" s="105"/>
      <c r="CY71" s="105"/>
      <c r="CZ71" s="104"/>
      <c r="DA71" s="105"/>
      <c r="DB71" s="105"/>
      <c r="DC71" s="105"/>
      <c r="DD71" s="105"/>
      <c r="DE71" s="105"/>
      <c r="DF71" s="105"/>
      <c r="DG71" s="105"/>
      <c r="DH71" s="105"/>
      <c r="DI71" s="105"/>
      <c r="DJ71" s="105"/>
      <c r="DK71" s="104"/>
      <c r="DL71" s="104"/>
    </row>
    <row r="72" ht="12.0" customHeight="1">
      <c r="A72" s="104"/>
      <c r="B72" s="104"/>
      <c r="C72" s="243"/>
      <c r="D72" s="243"/>
      <c r="E72" s="243"/>
      <c r="F72" s="243"/>
      <c r="G72" s="243"/>
      <c r="H72" s="243"/>
      <c r="I72" s="243"/>
      <c r="J72" s="243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3"/>
      <c r="Z72" s="243"/>
      <c r="AA72" s="243"/>
      <c r="AB72" s="243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05"/>
      <c r="BA72" s="105"/>
      <c r="BB72" s="105"/>
      <c r="BC72" s="105"/>
      <c r="BD72" s="105"/>
      <c r="BE72" s="105"/>
      <c r="BF72" s="105"/>
      <c r="BG72" s="105"/>
      <c r="BH72" s="105"/>
      <c r="BI72" s="105"/>
      <c r="BJ72" s="105"/>
      <c r="BK72" s="105"/>
      <c r="BL72" s="105"/>
      <c r="BM72" s="105"/>
      <c r="BN72" s="105"/>
      <c r="BO72" s="105"/>
      <c r="BP72" s="105"/>
      <c r="BQ72" s="105"/>
      <c r="BR72" s="105"/>
      <c r="BS72" s="105"/>
      <c r="BT72" s="105"/>
      <c r="BU72" s="105"/>
      <c r="BV72" s="105"/>
      <c r="BW72" s="105"/>
      <c r="BX72" s="105"/>
      <c r="BY72" s="105"/>
      <c r="BZ72" s="105"/>
      <c r="CA72" s="105"/>
      <c r="CB72" s="105"/>
      <c r="CC72" s="105"/>
      <c r="CD72" s="105"/>
      <c r="CE72" s="105"/>
      <c r="CF72" s="105"/>
      <c r="CG72" s="105"/>
      <c r="CH72" s="105"/>
      <c r="CI72" s="105"/>
      <c r="CJ72" s="105"/>
      <c r="CK72" s="105"/>
      <c r="CL72" s="105"/>
      <c r="CM72" s="105"/>
      <c r="CN72" s="105"/>
      <c r="CO72" s="105"/>
      <c r="CP72" s="105"/>
      <c r="CQ72" s="105"/>
      <c r="CR72" s="105"/>
      <c r="CS72" s="105"/>
      <c r="CT72" s="105"/>
      <c r="CU72" s="105"/>
      <c r="CV72" s="105"/>
      <c r="CW72" s="105"/>
      <c r="CX72" s="105"/>
      <c r="CY72" s="105"/>
      <c r="CZ72" s="104"/>
      <c r="DA72" s="105"/>
      <c r="DB72" s="105"/>
      <c r="DC72" s="105"/>
      <c r="DD72" s="105"/>
      <c r="DE72" s="105"/>
      <c r="DF72" s="105"/>
      <c r="DG72" s="105"/>
      <c r="DH72" s="105"/>
      <c r="DI72" s="105"/>
      <c r="DJ72" s="105"/>
      <c r="DK72" s="104"/>
      <c r="DL72" s="104"/>
    </row>
    <row r="73" ht="12.0" customHeight="1">
      <c r="A73" s="104"/>
      <c r="B73" s="104"/>
      <c r="C73" s="243"/>
      <c r="D73" s="243"/>
      <c r="E73" s="243"/>
      <c r="F73" s="243"/>
      <c r="G73" s="243"/>
      <c r="H73" s="243"/>
      <c r="I73" s="243"/>
      <c r="J73" s="243"/>
      <c r="K73" s="243"/>
      <c r="L73" s="243"/>
      <c r="M73" s="243"/>
      <c r="N73" s="243"/>
      <c r="O73" s="243"/>
      <c r="P73" s="243"/>
      <c r="Q73" s="243"/>
      <c r="R73" s="243"/>
      <c r="S73" s="243"/>
      <c r="T73" s="243"/>
      <c r="U73" s="243"/>
      <c r="V73" s="243"/>
      <c r="W73" s="243"/>
      <c r="X73" s="243"/>
      <c r="Y73" s="243"/>
      <c r="Z73" s="243"/>
      <c r="AA73" s="243"/>
      <c r="AB73" s="243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  <c r="AV73" s="105"/>
      <c r="AW73" s="105"/>
      <c r="AX73" s="105"/>
      <c r="AY73" s="105"/>
      <c r="AZ73" s="105"/>
      <c r="BA73" s="105"/>
      <c r="BB73" s="105"/>
      <c r="BC73" s="105"/>
      <c r="BD73" s="105"/>
      <c r="BE73" s="105"/>
      <c r="BF73" s="105"/>
      <c r="BG73" s="105"/>
      <c r="BH73" s="105"/>
      <c r="BI73" s="105"/>
      <c r="BJ73" s="105"/>
      <c r="BK73" s="105"/>
      <c r="BL73" s="105"/>
      <c r="BM73" s="105"/>
      <c r="BN73" s="105"/>
      <c r="BO73" s="105"/>
      <c r="BP73" s="105"/>
      <c r="BQ73" s="105"/>
      <c r="BR73" s="105"/>
      <c r="BS73" s="105"/>
      <c r="BT73" s="105"/>
      <c r="BU73" s="105"/>
      <c r="BV73" s="105"/>
      <c r="BW73" s="105"/>
      <c r="BX73" s="105"/>
      <c r="BY73" s="105"/>
      <c r="BZ73" s="105"/>
      <c r="CA73" s="105"/>
      <c r="CB73" s="105"/>
      <c r="CC73" s="105"/>
      <c r="CD73" s="105"/>
      <c r="CE73" s="105"/>
      <c r="CF73" s="105"/>
      <c r="CG73" s="105"/>
      <c r="CH73" s="105"/>
      <c r="CI73" s="105"/>
      <c r="CJ73" s="105"/>
      <c r="CK73" s="105"/>
      <c r="CL73" s="105"/>
      <c r="CM73" s="105"/>
      <c r="CN73" s="105"/>
      <c r="CO73" s="105"/>
      <c r="CP73" s="105"/>
      <c r="CQ73" s="105"/>
      <c r="CR73" s="105"/>
      <c r="CS73" s="105"/>
      <c r="CT73" s="105"/>
      <c r="CU73" s="105"/>
      <c r="CV73" s="105"/>
      <c r="CW73" s="105"/>
      <c r="CX73" s="105"/>
      <c r="CY73" s="105"/>
      <c r="CZ73" s="104"/>
      <c r="DA73" s="105"/>
      <c r="DB73" s="105"/>
      <c r="DC73" s="105"/>
      <c r="DD73" s="105"/>
      <c r="DE73" s="105"/>
      <c r="DF73" s="105"/>
      <c r="DG73" s="105"/>
      <c r="DH73" s="105"/>
      <c r="DI73" s="105"/>
      <c r="DJ73" s="105"/>
      <c r="DK73" s="104"/>
      <c r="DL73" s="104"/>
    </row>
    <row r="74" ht="12.0" customHeight="1">
      <c r="A74" s="104"/>
      <c r="B74" s="104"/>
      <c r="C74" s="243"/>
      <c r="D74" s="243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  <c r="AB74" s="243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  <c r="BE74" s="105"/>
      <c r="BF74" s="105"/>
      <c r="BG74" s="105"/>
      <c r="BH74" s="105"/>
      <c r="BI74" s="105"/>
      <c r="BJ74" s="105"/>
      <c r="BK74" s="105"/>
      <c r="BL74" s="105"/>
      <c r="BM74" s="105"/>
      <c r="BN74" s="105"/>
      <c r="BO74" s="105"/>
      <c r="BP74" s="105"/>
      <c r="BQ74" s="105"/>
      <c r="BR74" s="105"/>
      <c r="BS74" s="105"/>
      <c r="BT74" s="105"/>
      <c r="BU74" s="105"/>
      <c r="BV74" s="105"/>
      <c r="BW74" s="105"/>
      <c r="BX74" s="105"/>
      <c r="BY74" s="105"/>
      <c r="BZ74" s="105"/>
      <c r="CA74" s="105"/>
      <c r="CB74" s="105"/>
      <c r="CC74" s="105"/>
      <c r="CD74" s="105"/>
      <c r="CE74" s="105"/>
      <c r="CF74" s="105"/>
      <c r="CG74" s="105"/>
      <c r="CH74" s="105"/>
      <c r="CI74" s="105"/>
      <c r="CJ74" s="105"/>
      <c r="CK74" s="105"/>
      <c r="CL74" s="105"/>
      <c r="CM74" s="105"/>
      <c r="CN74" s="105"/>
      <c r="CO74" s="105"/>
      <c r="CP74" s="105"/>
      <c r="CQ74" s="105"/>
      <c r="CR74" s="105"/>
      <c r="CS74" s="105"/>
      <c r="CT74" s="105"/>
      <c r="CU74" s="105"/>
      <c r="CV74" s="105"/>
      <c r="CW74" s="105"/>
      <c r="CX74" s="105"/>
      <c r="CY74" s="105"/>
      <c r="CZ74" s="104"/>
      <c r="DA74" s="105"/>
      <c r="DB74" s="105"/>
      <c r="DC74" s="105"/>
      <c r="DD74" s="105"/>
      <c r="DE74" s="105"/>
      <c r="DF74" s="105"/>
      <c r="DG74" s="105"/>
      <c r="DH74" s="105"/>
      <c r="DI74" s="105"/>
      <c r="DJ74" s="105"/>
      <c r="DK74" s="104"/>
      <c r="DL74" s="104"/>
    </row>
    <row r="75" ht="12.0" customHeight="1">
      <c r="A75" s="104"/>
      <c r="B75" s="104"/>
      <c r="C75" s="243"/>
      <c r="D75" s="243"/>
      <c r="E75" s="243"/>
      <c r="F75" s="243"/>
      <c r="G75" s="243"/>
      <c r="H75" s="243"/>
      <c r="I75" s="243"/>
      <c r="J75" s="243"/>
      <c r="K75" s="243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3"/>
      <c r="X75" s="243"/>
      <c r="Y75" s="243"/>
      <c r="Z75" s="243"/>
      <c r="AA75" s="243"/>
      <c r="AB75" s="243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  <c r="AX75" s="105"/>
      <c r="AY75" s="105"/>
      <c r="AZ75" s="105"/>
      <c r="BA75" s="105"/>
      <c r="BB75" s="105"/>
      <c r="BC75" s="105"/>
      <c r="BD75" s="105"/>
      <c r="BE75" s="105"/>
      <c r="BF75" s="105"/>
      <c r="BG75" s="105"/>
      <c r="BH75" s="105"/>
      <c r="BI75" s="105"/>
      <c r="BJ75" s="105"/>
      <c r="BK75" s="105"/>
      <c r="BL75" s="105"/>
      <c r="BM75" s="105"/>
      <c r="BN75" s="105"/>
      <c r="BO75" s="105"/>
      <c r="BP75" s="105"/>
      <c r="BQ75" s="105"/>
      <c r="BR75" s="105"/>
      <c r="BS75" s="105"/>
      <c r="BT75" s="105"/>
      <c r="BU75" s="105"/>
      <c r="BV75" s="105"/>
      <c r="BW75" s="105"/>
      <c r="BX75" s="105"/>
      <c r="BY75" s="105"/>
      <c r="BZ75" s="105"/>
      <c r="CA75" s="105"/>
      <c r="CB75" s="105"/>
      <c r="CC75" s="105"/>
      <c r="CD75" s="105"/>
      <c r="CE75" s="105"/>
      <c r="CF75" s="105"/>
      <c r="CG75" s="105"/>
      <c r="CH75" s="105"/>
      <c r="CI75" s="105"/>
      <c r="CJ75" s="105"/>
      <c r="CK75" s="105"/>
      <c r="CL75" s="105"/>
      <c r="CM75" s="105"/>
      <c r="CN75" s="105"/>
      <c r="CO75" s="105"/>
      <c r="CP75" s="105"/>
      <c r="CQ75" s="105"/>
      <c r="CR75" s="105"/>
      <c r="CS75" s="105"/>
      <c r="CT75" s="105"/>
      <c r="CU75" s="105"/>
      <c r="CV75" s="105"/>
      <c r="CW75" s="105"/>
      <c r="CX75" s="105"/>
      <c r="CY75" s="105"/>
      <c r="CZ75" s="104"/>
      <c r="DA75" s="105"/>
      <c r="DB75" s="105"/>
      <c r="DC75" s="105"/>
      <c r="DD75" s="105"/>
      <c r="DE75" s="105"/>
      <c r="DF75" s="105"/>
      <c r="DG75" s="105"/>
      <c r="DH75" s="105"/>
      <c r="DI75" s="105"/>
      <c r="DJ75" s="105"/>
      <c r="DK75" s="104"/>
      <c r="DL75" s="104"/>
    </row>
    <row r="76" ht="12.0" customHeight="1">
      <c r="A76" s="104"/>
      <c r="B76" s="104"/>
      <c r="C76" s="243"/>
      <c r="D76" s="243"/>
      <c r="E76" s="243"/>
      <c r="F76" s="243"/>
      <c r="G76" s="243"/>
      <c r="H76" s="243"/>
      <c r="I76" s="243"/>
      <c r="J76" s="243"/>
      <c r="K76" s="243"/>
      <c r="L76" s="243"/>
      <c r="M76" s="243"/>
      <c r="N76" s="243"/>
      <c r="O76" s="243"/>
      <c r="P76" s="243"/>
      <c r="Q76" s="243"/>
      <c r="R76" s="243"/>
      <c r="S76" s="243"/>
      <c r="T76" s="243"/>
      <c r="U76" s="243"/>
      <c r="V76" s="243"/>
      <c r="W76" s="243"/>
      <c r="X76" s="243"/>
      <c r="Y76" s="243"/>
      <c r="Z76" s="243"/>
      <c r="AA76" s="243"/>
      <c r="AB76" s="243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  <c r="BE76" s="105"/>
      <c r="BF76" s="105"/>
      <c r="BG76" s="105"/>
      <c r="BH76" s="105"/>
      <c r="BI76" s="105"/>
      <c r="BJ76" s="105"/>
      <c r="BK76" s="105"/>
      <c r="BL76" s="105"/>
      <c r="BM76" s="105"/>
      <c r="BN76" s="105"/>
      <c r="BO76" s="105"/>
      <c r="BP76" s="105"/>
      <c r="BQ76" s="105"/>
      <c r="BR76" s="105"/>
      <c r="BS76" s="105"/>
      <c r="BT76" s="105"/>
      <c r="BU76" s="105"/>
      <c r="BV76" s="105"/>
      <c r="BW76" s="105"/>
      <c r="BX76" s="105"/>
      <c r="BY76" s="105"/>
      <c r="BZ76" s="105"/>
      <c r="CA76" s="105"/>
      <c r="CB76" s="105"/>
      <c r="CC76" s="105"/>
      <c r="CD76" s="105"/>
      <c r="CE76" s="105"/>
      <c r="CF76" s="105"/>
      <c r="CG76" s="105"/>
      <c r="CH76" s="105"/>
      <c r="CI76" s="105"/>
      <c r="CJ76" s="105"/>
      <c r="CK76" s="105"/>
      <c r="CL76" s="105"/>
      <c r="CM76" s="105"/>
      <c r="CN76" s="105"/>
      <c r="CO76" s="105"/>
      <c r="CP76" s="105"/>
      <c r="CQ76" s="105"/>
      <c r="CR76" s="105"/>
      <c r="CS76" s="105"/>
      <c r="CT76" s="105"/>
      <c r="CU76" s="105"/>
      <c r="CV76" s="105"/>
      <c r="CW76" s="105"/>
      <c r="CX76" s="105"/>
      <c r="CY76" s="105"/>
      <c r="CZ76" s="104"/>
      <c r="DA76" s="105"/>
      <c r="DB76" s="105"/>
      <c r="DC76" s="105"/>
      <c r="DD76" s="105"/>
      <c r="DE76" s="105"/>
      <c r="DF76" s="105"/>
      <c r="DG76" s="105"/>
      <c r="DH76" s="105"/>
      <c r="DI76" s="105"/>
      <c r="DJ76" s="105"/>
      <c r="DK76" s="104"/>
      <c r="DL76" s="104"/>
    </row>
    <row r="77" ht="12.0" customHeight="1">
      <c r="A77" s="104"/>
      <c r="B77" s="104"/>
      <c r="C77" s="243"/>
      <c r="D77" s="243"/>
      <c r="E77" s="243"/>
      <c r="F77" s="243"/>
      <c r="G77" s="243"/>
      <c r="H77" s="243"/>
      <c r="I77" s="243"/>
      <c r="J77" s="243"/>
      <c r="K77" s="243"/>
      <c r="L77" s="243"/>
      <c r="M77" s="243"/>
      <c r="N77" s="243"/>
      <c r="O77" s="243"/>
      <c r="P77" s="243"/>
      <c r="Q77" s="243"/>
      <c r="R77" s="243"/>
      <c r="S77" s="243"/>
      <c r="T77" s="243"/>
      <c r="U77" s="243"/>
      <c r="V77" s="243"/>
      <c r="W77" s="243"/>
      <c r="X77" s="243"/>
      <c r="Y77" s="243"/>
      <c r="Z77" s="243"/>
      <c r="AA77" s="243"/>
      <c r="AB77" s="243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05"/>
      <c r="BF77" s="105"/>
      <c r="BG77" s="105"/>
      <c r="BH77" s="105"/>
      <c r="BI77" s="105"/>
      <c r="BJ77" s="105"/>
      <c r="BK77" s="105"/>
      <c r="BL77" s="105"/>
      <c r="BM77" s="105"/>
      <c r="BN77" s="105"/>
      <c r="BO77" s="105"/>
      <c r="BP77" s="105"/>
      <c r="BQ77" s="105"/>
      <c r="BR77" s="105"/>
      <c r="BS77" s="105"/>
      <c r="BT77" s="105"/>
      <c r="BU77" s="105"/>
      <c r="BV77" s="105"/>
      <c r="BW77" s="105"/>
      <c r="BX77" s="105"/>
      <c r="BY77" s="105"/>
      <c r="BZ77" s="105"/>
      <c r="CA77" s="105"/>
      <c r="CB77" s="105"/>
      <c r="CC77" s="105"/>
      <c r="CD77" s="105"/>
      <c r="CE77" s="105"/>
      <c r="CF77" s="105"/>
      <c r="CG77" s="105"/>
      <c r="CH77" s="105"/>
      <c r="CI77" s="105"/>
      <c r="CJ77" s="105"/>
      <c r="CK77" s="105"/>
      <c r="CL77" s="105"/>
      <c r="CM77" s="105"/>
      <c r="CN77" s="105"/>
      <c r="CO77" s="105"/>
      <c r="CP77" s="105"/>
      <c r="CQ77" s="105"/>
      <c r="CR77" s="105"/>
      <c r="CS77" s="105"/>
      <c r="CT77" s="105"/>
      <c r="CU77" s="105"/>
      <c r="CV77" s="105"/>
      <c r="CW77" s="105"/>
      <c r="CX77" s="105"/>
      <c r="CY77" s="105"/>
      <c r="CZ77" s="104"/>
      <c r="DA77" s="105"/>
      <c r="DB77" s="105"/>
      <c r="DC77" s="105"/>
      <c r="DD77" s="105"/>
      <c r="DE77" s="105"/>
      <c r="DF77" s="105"/>
      <c r="DG77" s="105"/>
      <c r="DH77" s="105"/>
      <c r="DI77" s="105"/>
      <c r="DJ77" s="105"/>
      <c r="DK77" s="104"/>
      <c r="DL77" s="104"/>
    </row>
    <row r="78" ht="12.0" customHeight="1">
      <c r="A78" s="104"/>
      <c r="B78" s="104"/>
      <c r="C78" s="243"/>
      <c r="D78" s="243"/>
      <c r="E78" s="243"/>
      <c r="F78" s="243"/>
      <c r="G78" s="243"/>
      <c r="H78" s="243"/>
      <c r="I78" s="243"/>
      <c r="J78" s="243"/>
      <c r="K78" s="243"/>
      <c r="L78" s="243"/>
      <c r="M78" s="243"/>
      <c r="N78" s="243"/>
      <c r="O78" s="243"/>
      <c r="P78" s="243"/>
      <c r="Q78" s="243"/>
      <c r="R78" s="243"/>
      <c r="S78" s="243"/>
      <c r="T78" s="243"/>
      <c r="U78" s="243"/>
      <c r="V78" s="243"/>
      <c r="W78" s="243"/>
      <c r="X78" s="243"/>
      <c r="Y78" s="243"/>
      <c r="Z78" s="243"/>
      <c r="AA78" s="243"/>
      <c r="AB78" s="243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05"/>
      <c r="BF78" s="105"/>
      <c r="BG78" s="105"/>
      <c r="BH78" s="105"/>
      <c r="BI78" s="105"/>
      <c r="BJ78" s="105"/>
      <c r="BK78" s="105"/>
      <c r="BL78" s="105"/>
      <c r="BM78" s="105"/>
      <c r="BN78" s="105"/>
      <c r="BO78" s="105"/>
      <c r="BP78" s="105"/>
      <c r="BQ78" s="105"/>
      <c r="BR78" s="105"/>
      <c r="BS78" s="105"/>
      <c r="BT78" s="105"/>
      <c r="BU78" s="105"/>
      <c r="BV78" s="105"/>
      <c r="BW78" s="105"/>
      <c r="BX78" s="105"/>
      <c r="BY78" s="105"/>
      <c r="BZ78" s="105"/>
      <c r="CA78" s="105"/>
      <c r="CB78" s="105"/>
      <c r="CC78" s="105"/>
      <c r="CD78" s="105"/>
      <c r="CE78" s="105"/>
      <c r="CF78" s="105"/>
      <c r="CG78" s="105"/>
      <c r="CH78" s="105"/>
      <c r="CI78" s="105"/>
      <c r="CJ78" s="105"/>
      <c r="CK78" s="105"/>
      <c r="CL78" s="105"/>
      <c r="CM78" s="105"/>
      <c r="CN78" s="105"/>
      <c r="CO78" s="105"/>
      <c r="CP78" s="105"/>
      <c r="CQ78" s="105"/>
      <c r="CR78" s="105"/>
      <c r="CS78" s="105"/>
      <c r="CT78" s="105"/>
      <c r="CU78" s="105"/>
      <c r="CV78" s="105"/>
      <c r="CW78" s="105"/>
      <c r="CX78" s="105"/>
      <c r="CY78" s="105"/>
      <c r="CZ78" s="104"/>
      <c r="DA78" s="105"/>
      <c r="DB78" s="105"/>
      <c r="DC78" s="105"/>
      <c r="DD78" s="105"/>
      <c r="DE78" s="105"/>
      <c r="DF78" s="105"/>
      <c r="DG78" s="105"/>
      <c r="DH78" s="105"/>
      <c r="DI78" s="105"/>
      <c r="DJ78" s="105"/>
      <c r="DK78" s="104"/>
      <c r="DL78" s="104"/>
    </row>
    <row r="79" ht="12.0" customHeight="1">
      <c r="A79" s="104"/>
      <c r="B79" s="104"/>
      <c r="C79" s="243"/>
      <c r="D79" s="243"/>
      <c r="E79" s="243"/>
      <c r="F79" s="243"/>
      <c r="G79" s="243"/>
      <c r="H79" s="243"/>
      <c r="I79" s="243"/>
      <c r="J79" s="243"/>
      <c r="K79" s="243"/>
      <c r="L79" s="243"/>
      <c r="M79" s="243"/>
      <c r="N79" s="243"/>
      <c r="O79" s="243"/>
      <c r="P79" s="243"/>
      <c r="Q79" s="243"/>
      <c r="R79" s="243"/>
      <c r="S79" s="243"/>
      <c r="T79" s="243"/>
      <c r="U79" s="243"/>
      <c r="V79" s="243"/>
      <c r="W79" s="243"/>
      <c r="X79" s="243"/>
      <c r="Y79" s="243"/>
      <c r="Z79" s="243"/>
      <c r="AA79" s="243"/>
      <c r="AB79" s="243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  <c r="BJ79" s="105"/>
      <c r="BK79" s="105"/>
      <c r="BL79" s="105"/>
      <c r="BM79" s="105"/>
      <c r="BN79" s="105"/>
      <c r="BO79" s="105"/>
      <c r="BP79" s="105"/>
      <c r="BQ79" s="105"/>
      <c r="BR79" s="105"/>
      <c r="BS79" s="105"/>
      <c r="BT79" s="105"/>
      <c r="BU79" s="105"/>
      <c r="BV79" s="105"/>
      <c r="BW79" s="105"/>
      <c r="BX79" s="105"/>
      <c r="BY79" s="105"/>
      <c r="BZ79" s="105"/>
      <c r="CA79" s="105"/>
      <c r="CB79" s="105"/>
      <c r="CC79" s="105"/>
      <c r="CD79" s="105"/>
      <c r="CE79" s="105"/>
      <c r="CF79" s="105"/>
      <c r="CG79" s="105"/>
      <c r="CH79" s="105"/>
      <c r="CI79" s="105"/>
      <c r="CJ79" s="105"/>
      <c r="CK79" s="105"/>
      <c r="CL79" s="105"/>
      <c r="CM79" s="105"/>
      <c r="CN79" s="105"/>
      <c r="CO79" s="105"/>
      <c r="CP79" s="105"/>
      <c r="CQ79" s="105"/>
      <c r="CR79" s="105"/>
      <c r="CS79" s="105"/>
      <c r="CT79" s="105"/>
      <c r="CU79" s="105"/>
      <c r="CV79" s="105"/>
      <c r="CW79" s="105"/>
      <c r="CX79" s="105"/>
      <c r="CY79" s="105"/>
      <c r="CZ79" s="104"/>
      <c r="DA79" s="105"/>
      <c r="DB79" s="105"/>
      <c r="DC79" s="105"/>
      <c r="DD79" s="105"/>
      <c r="DE79" s="105"/>
      <c r="DF79" s="105"/>
      <c r="DG79" s="105"/>
      <c r="DH79" s="105"/>
      <c r="DI79" s="105"/>
      <c r="DJ79" s="105"/>
      <c r="DK79" s="104"/>
      <c r="DL79" s="104"/>
    </row>
    <row r="80" ht="12.0" customHeight="1">
      <c r="A80" s="104"/>
      <c r="B80" s="104"/>
      <c r="C80" s="243"/>
      <c r="D80" s="243"/>
      <c r="E80" s="243"/>
      <c r="F80" s="243"/>
      <c r="G80" s="243"/>
      <c r="H80" s="243"/>
      <c r="I80" s="243"/>
      <c r="J80" s="243"/>
      <c r="K80" s="243"/>
      <c r="L80" s="243"/>
      <c r="M80" s="243"/>
      <c r="N80" s="243"/>
      <c r="O80" s="243"/>
      <c r="P80" s="243"/>
      <c r="Q80" s="243"/>
      <c r="R80" s="243"/>
      <c r="S80" s="243"/>
      <c r="T80" s="243"/>
      <c r="U80" s="243"/>
      <c r="V80" s="243"/>
      <c r="W80" s="243"/>
      <c r="X80" s="243"/>
      <c r="Y80" s="243"/>
      <c r="Z80" s="243"/>
      <c r="AA80" s="243"/>
      <c r="AB80" s="243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  <c r="BJ80" s="105"/>
      <c r="BK80" s="105"/>
      <c r="BL80" s="105"/>
      <c r="BM80" s="105"/>
      <c r="BN80" s="105"/>
      <c r="BO80" s="105"/>
      <c r="BP80" s="105"/>
      <c r="BQ80" s="105"/>
      <c r="BR80" s="105"/>
      <c r="BS80" s="105"/>
      <c r="BT80" s="105"/>
      <c r="BU80" s="105"/>
      <c r="BV80" s="105"/>
      <c r="BW80" s="105"/>
      <c r="BX80" s="105"/>
      <c r="BY80" s="105"/>
      <c r="BZ80" s="105"/>
      <c r="CA80" s="105"/>
      <c r="CB80" s="105"/>
      <c r="CC80" s="105"/>
      <c r="CD80" s="105"/>
      <c r="CE80" s="105"/>
      <c r="CF80" s="105"/>
      <c r="CG80" s="105"/>
      <c r="CH80" s="105"/>
      <c r="CI80" s="105"/>
      <c r="CJ80" s="105"/>
      <c r="CK80" s="105"/>
      <c r="CL80" s="105"/>
      <c r="CM80" s="105"/>
      <c r="CN80" s="105"/>
      <c r="CO80" s="105"/>
      <c r="CP80" s="105"/>
      <c r="CQ80" s="105"/>
      <c r="CR80" s="105"/>
      <c r="CS80" s="105"/>
      <c r="CT80" s="105"/>
      <c r="CU80" s="105"/>
      <c r="CV80" s="105"/>
      <c r="CW80" s="105"/>
      <c r="CX80" s="105"/>
      <c r="CY80" s="105"/>
      <c r="CZ80" s="104"/>
      <c r="DA80" s="105"/>
      <c r="DB80" s="105"/>
      <c r="DC80" s="105"/>
      <c r="DD80" s="105"/>
      <c r="DE80" s="105"/>
      <c r="DF80" s="105"/>
      <c r="DG80" s="105"/>
      <c r="DH80" s="105"/>
      <c r="DI80" s="105"/>
      <c r="DJ80" s="105"/>
      <c r="DK80" s="104"/>
      <c r="DL80" s="104"/>
    </row>
    <row r="81" ht="12.0" customHeight="1">
      <c r="A81" s="104"/>
      <c r="B81" s="104"/>
      <c r="C81" s="243"/>
      <c r="D81" s="243"/>
      <c r="E81" s="243"/>
      <c r="F81" s="243"/>
      <c r="G81" s="243"/>
      <c r="H81" s="243"/>
      <c r="I81" s="243"/>
      <c r="J81" s="243"/>
      <c r="K81" s="243"/>
      <c r="L81" s="243"/>
      <c r="M81" s="243"/>
      <c r="N81" s="243"/>
      <c r="O81" s="243"/>
      <c r="P81" s="243"/>
      <c r="Q81" s="243"/>
      <c r="R81" s="243"/>
      <c r="S81" s="243"/>
      <c r="T81" s="243"/>
      <c r="U81" s="243"/>
      <c r="V81" s="243"/>
      <c r="W81" s="243"/>
      <c r="X81" s="243"/>
      <c r="Y81" s="243"/>
      <c r="Z81" s="243"/>
      <c r="AA81" s="243"/>
      <c r="AB81" s="243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5"/>
      <c r="BI81" s="105"/>
      <c r="BJ81" s="105"/>
      <c r="BK81" s="105"/>
      <c r="BL81" s="105"/>
      <c r="BM81" s="105"/>
      <c r="BN81" s="105"/>
      <c r="BO81" s="105"/>
      <c r="BP81" s="105"/>
      <c r="BQ81" s="105"/>
      <c r="BR81" s="105"/>
      <c r="BS81" s="105"/>
      <c r="BT81" s="105"/>
      <c r="BU81" s="105"/>
      <c r="BV81" s="105"/>
      <c r="BW81" s="105"/>
      <c r="BX81" s="105"/>
      <c r="BY81" s="105"/>
      <c r="BZ81" s="105"/>
      <c r="CA81" s="105"/>
      <c r="CB81" s="105"/>
      <c r="CC81" s="105"/>
      <c r="CD81" s="105"/>
      <c r="CE81" s="105"/>
      <c r="CF81" s="105"/>
      <c r="CG81" s="105"/>
      <c r="CH81" s="105"/>
      <c r="CI81" s="105"/>
      <c r="CJ81" s="105"/>
      <c r="CK81" s="105"/>
      <c r="CL81" s="105"/>
      <c r="CM81" s="105"/>
      <c r="CN81" s="105"/>
      <c r="CO81" s="105"/>
      <c r="CP81" s="105"/>
      <c r="CQ81" s="105"/>
      <c r="CR81" s="105"/>
      <c r="CS81" s="105"/>
      <c r="CT81" s="105"/>
      <c r="CU81" s="105"/>
      <c r="CV81" s="105"/>
      <c r="CW81" s="105"/>
      <c r="CX81" s="105"/>
      <c r="CY81" s="105"/>
      <c r="CZ81" s="104"/>
      <c r="DA81" s="105"/>
      <c r="DB81" s="105"/>
      <c r="DC81" s="105"/>
      <c r="DD81" s="105"/>
      <c r="DE81" s="105"/>
      <c r="DF81" s="105"/>
      <c r="DG81" s="105"/>
      <c r="DH81" s="105"/>
      <c r="DI81" s="105"/>
      <c r="DJ81" s="105"/>
      <c r="DK81" s="104"/>
      <c r="DL81" s="104"/>
    </row>
    <row r="82" ht="12.0" customHeight="1">
      <c r="A82" s="104"/>
      <c r="B82" s="104"/>
      <c r="C82" s="243"/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243"/>
      <c r="S82" s="243"/>
      <c r="T82" s="243"/>
      <c r="U82" s="243"/>
      <c r="V82" s="243"/>
      <c r="W82" s="243"/>
      <c r="X82" s="243"/>
      <c r="Y82" s="243"/>
      <c r="Z82" s="243"/>
      <c r="AA82" s="243"/>
      <c r="AB82" s="243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  <c r="BD82" s="105"/>
      <c r="BE82" s="105"/>
      <c r="BF82" s="105"/>
      <c r="BG82" s="105"/>
      <c r="BH82" s="105"/>
      <c r="BI82" s="105"/>
      <c r="BJ82" s="105"/>
      <c r="BK82" s="105"/>
      <c r="BL82" s="105"/>
      <c r="BM82" s="105"/>
      <c r="BN82" s="105"/>
      <c r="BO82" s="105"/>
      <c r="BP82" s="105"/>
      <c r="BQ82" s="105"/>
      <c r="BR82" s="105"/>
      <c r="BS82" s="105"/>
      <c r="BT82" s="105"/>
      <c r="BU82" s="105"/>
      <c r="BV82" s="105"/>
      <c r="BW82" s="105"/>
      <c r="BX82" s="105"/>
      <c r="BY82" s="105"/>
      <c r="BZ82" s="105"/>
      <c r="CA82" s="105"/>
      <c r="CB82" s="105"/>
      <c r="CC82" s="105"/>
      <c r="CD82" s="105"/>
      <c r="CE82" s="105"/>
      <c r="CF82" s="105"/>
      <c r="CG82" s="105"/>
      <c r="CH82" s="105"/>
      <c r="CI82" s="105"/>
      <c r="CJ82" s="105"/>
      <c r="CK82" s="105"/>
      <c r="CL82" s="105"/>
      <c r="CM82" s="105"/>
      <c r="CN82" s="105"/>
      <c r="CO82" s="105"/>
      <c r="CP82" s="105"/>
      <c r="CQ82" s="105"/>
      <c r="CR82" s="105"/>
      <c r="CS82" s="105"/>
      <c r="CT82" s="105"/>
      <c r="CU82" s="105"/>
      <c r="CV82" s="105"/>
      <c r="CW82" s="105"/>
      <c r="CX82" s="105"/>
      <c r="CY82" s="105"/>
      <c r="CZ82" s="104"/>
      <c r="DA82" s="105"/>
      <c r="DB82" s="105"/>
      <c r="DC82" s="105"/>
      <c r="DD82" s="105"/>
      <c r="DE82" s="105"/>
      <c r="DF82" s="105"/>
      <c r="DG82" s="105"/>
      <c r="DH82" s="105"/>
      <c r="DI82" s="105"/>
      <c r="DJ82" s="105"/>
      <c r="DK82" s="104"/>
      <c r="DL82" s="104"/>
    </row>
    <row r="83" ht="12.0" customHeight="1">
      <c r="A83" s="104"/>
      <c r="B83" s="104"/>
      <c r="C83" s="243"/>
      <c r="D83" s="243"/>
      <c r="E83" s="243"/>
      <c r="F83" s="243"/>
      <c r="G83" s="243"/>
      <c r="H83" s="243"/>
      <c r="I83" s="243"/>
      <c r="J83" s="243"/>
      <c r="K83" s="243"/>
      <c r="L83" s="243"/>
      <c r="M83" s="243"/>
      <c r="N83" s="243"/>
      <c r="O83" s="243"/>
      <c r="P83" s="243"/>
      <c r="Q83" s="243"/>
      <c r="R83" s="243"/>
      <c r="S83" s="243"/>
      <c r="T83" s="243"/>
      <c r="U83" s="243"/>
      <c r="V83" s="243"/>
      <c r="W83" s="243"/>
      <c r="X83" s="243"/>
      <c r="Y83" s="243"/>
      <c r="Z83" s="243"/>
      <c r="AA83" s="243"/>
      <c r="AB83" s="243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05"/>
      <c r="BF83" s="105"/>
      <c r="BG83" s="105"/>
      <c r="BH83" s="105"/>
      <c r="BI83" s="105"/>
      <c r="BJ83" s="105"/>
      <c r="BK83" s="105"/>
      <c r="BL83" s="105"/>
      <c r="BM83" s="105"/>
      <c r="BN83" s="105"/>
      <c r="BO83" s="105"/>
      <c r="BP83" s="105"/>
      <c r="BQ83" s="105"/>
      <c r="BR83" s="105"/>
      <c r="BS83" s="105"/>
      <c r="BT83" s="105"/>
      <c r="BU83" s="105"/>
      <c r="BV83" s="105"/>
      <c r="BW83" s="105"/>
      <c r="BX83" s="105"/>
      <c r="BY83" s="105"/>
      <c r="BZ83" s="105"/>
      <c r="CA83" s="105"/>
      <c r="CB83" s="105"/>
      <c r="CC83" s="105"/>
      <c r="CD83" s="105"/>
      <c r="CE83" s="105"/>
      <c r="CF83" s="105"/>
      <c r="CG83" s="105"/>
      <c r="CH83" s="105"/>
      <c r="CI83" s="105"/>
      <c r="CJ83" s="105"/>
      <c r="CK83" s="105"/>
      <c r="CL83" s="105"/>
      <c r="CM83" s="105"/>
      <c r="CN83" s="105"/>
      <c r="CO83" s="105"/>
      <c r="CP83" s="105"/>
      <c r="CQ83" s="105"/>
      <c r="CR83" s="105"/>
      <c r="CS83" s="105"/>
      <c r="CT83" s="105"/>
      <c r="CU83" s="105"/>
      <c r="CV83" s="105"/>
      <c r="CW83" s="105"/>
      <c r="CX83" s="105"/>
      <c r="CY83" s="105"/>
      <c r="CZ83" s="104"/>
      <c r="DA83" s="105"/>
      <c r="DB83" s="105"/>
      <c r="DC83" s="105"/>
      <c r="DD83" s="105"/>
      <c r="DE83" s="105"/>
      <c r="DF83" s="105"/>
      <c r="DG83" s="105"/>
      <c r="DH83" s="105"/>
      <c r="DI83" s="105"/>
      <c r="DJ83" s="105"/>
      <c r="DK83" s="104"/>
      <c r="DL83" s="104"/>
    </row>
    <row r="84" ht="12.0" customHeight="1">
      <c r="A84" s="104"/>
      <c r="B84" s="104"/>
      <c r="C84" s="243"/>
      <c r="D84" s="243"/>
      <c r="E84" s="243"/>
      <c r="F84" s="243"/>
      <c r="G84" s="243"/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3"/>
      <c r="S84" s="243"/>
      <c r="T84" s="243"/>
      <c r="U84" s="243"/>
      <c r="V84" s="243"/>
      <c r="W84" s="243"/>
      <c r="X84" s="243"/>
      <c r="Y84" s="243"/>
      <c r="Z84" s="243"/>
      <c r="AA84" s="243"/>
      <c r="AB84" s="243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05"/>
      <c r="BF84" s="105"/>
      <c r="BG84" s="105"/>
      <c r="BH84" s="105"/>
      <c r="BI84" s="105"/>
      <c r="BJ84" s="105"/>
      <c r="BK84" s="105"/>
      <c r="BL84" s="105"/>
      <c r="BM84" s="105"/>
      <c r="BN84" s="105"/>
      <c r="BO84" s="105"/>
      <c r="BP84" s="105"/>
      <c r="BQ84" s="105"/>
      <c r="BR84" s="105"/>
      <c r="BS84" s="105"/>
      <c r="BT84" s="105"/>
      <c r="BU84" s="105"/>
      <c r="BV84" s="105"/>
      <c r="BW84" s="105"/>
      <c r="BX84" s="105"/>
      <c r="BY84" s="105"/>
      <c r="BZ84" s="105"/>
      <c r="CA84" s="105"/>
      <c r="CB84" s="105"/>
      <c r="CC84" s="105"/>
      <c r="CD84" s="105"/>
      <c r="CE84" s="105"/>
      <c r="CF84" s="105"/>
      <c r="CG84" s="105"/>
      <c r="CH84" s="105"/>
      <c r="CI84" s="105"/>
      <c r="CJ84" s="105"/>
      <c r="CK84" s="105"/>
      <c r="CL84" s="105"/>
      <c r="CM84" s="105"/>
      <c r="CN84" s="105"/>
      <c r="CO84" s="105"/>
      <c r="CP84" s="105"/>
      <c r="CQ84" s="105"/>
      <c r="CR84" s="105"/>
      <c r="CS84" s="105"/>
      <c r="CT84" s="105"/>
      <c r="CU84" s="105"/>
      <c r="CV84" s="105"/>
      <c r="CW84" s="105"/>
      <c r="CX84" s="105"/>
      <c r="CY84" s="105"/>
      <c r="CZ84" s="104"/>
      <c r="DA84" s="105"/>
      <c r="DB84" s="105"/>
      <c r="DC84" s="105"/>
      <c r="DD84" s="105"/>
      <c r="DE84" s="105"/>
      <c r="DF84" s="105"/>
      <c r="DG84" s="105"/>
      <c r="DH84" s="105"/>
      <c r="DI84" s="105"/>
      <c r="DJ84" s="105"/>
      <c r="DK84" s="104"/>
      <c r="DL84" s="104"/>
    </row>
    <row r="85" ht="12.0" customHeight="1">
      <c r="A85" s="104"/>
      <c r="B85" s="104"/>
      <c r="C85" s="243"/>
      <c r="D85" s="243"/>
      <c r="E85" s="243"/>
      <c r="F85" s="243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243"/>
      <c r="S85" s="243"/>
      <c r="T85" s="243"/>
      <c r="U85" s="243"/>
      <c r="V85" s="243"/>
      <c r="W85" s="243"/>
      <c r="X85" s="243"/>
      <c r="Y85" s="243"/>
      <c r="Z85" s="243"/>
      <c r="AA85" s="243"/>
      <c r="AB85" s="243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105"/>
      <c r="BB85" s="105"/>
      <c r="BC85" s="105"/>
      <c r="BD85" s="105"/>
      <c r="BE85" s="105"/>
      <c r="BF85" s="105"/>
      <c r="BG85" s="105"/>
      <c r="BH85" s="105"/>
      <c r="BI85" s="105"/>
      <c r="BJ85" s="105"/>
      <c r="BK85" s="105"/>
      <c r="BL85" s="105"/>
      <c r="BM85" s="105"/>
      <c r="BN85" s="105"/>
      <c r="BO85" s="105"/>
      <c r="BP85" s="105"/>
      <c r="BQ85" s="105"/>
      <c r="BR85" s="105"/>
      <c r="BS85" s="105"/>
      <c r="BT85" s="105"/>
      <c r="BU85" s="105"/>
      <c r="BV85" s="105"/>
      <c r="BW85" s="105"/>
      <c r="BX85" s="105"/>
      <c r="BY85" s="105"/>
      <c r="BZ85" s="105"/>
      <c r="CA85" s="105"/>
      <c r="CB85" s="105"/>
      <c r="CC85" s="105"/>
      <c r="CD85" s="105"/>
      <c r="CE85" s="105"/>
      <c r="CF85" s="105"/>
      <c r="CG85" s="105"/>
      <c r="CH85" s="105"/>
      <c r="CI85" s="105"/>
      <c r="CJ85" s="105"/>
      <c r="CK85" s="105"/>
      <c r="CL85" s="105"/>
      <c r="CM85" s="105"/>
      <c r="CN85" s="105"/>
      <c r="CO85" s="105"/>
      <c r="CP85" s="105"/>
      <c r="CQ85" s="105"/>
      <c r="CR85" s="105"/>
      <c r="CS85" s="105"/>
      <c r="CT85" s="105"/>
      <c r="CU85" s="105"/>
      <c r="CV85" s="105"/>
      <c r="CW85" s="105"/>
      <c r="CX85" s="105"/>
      <c r="CY85" s="105"/>
      <c r="CZ85" s="104"/>
      <c r="DA85" s="105"/>
      <c r="DB85" s="105"/>
      <c r="DC85" s="105"/>
      <c r="DD85" s="105"/>
      <c r="DE85" s="105"/>
      <c r="DF85" s="105"/>
      <c r="DG85" s="105"/>
      <c r="DH85" s="105"/>
      <c r="DI85" s="105"/>
      <c r="DJ85" s="105"/>
      <c r="DK85" s="104"/>
      <c r="DL85" s="104"/>
    </row>
    <row r="86" ht="12.0" customHeight="1">
      <c r="A86" s="104"/>
      <c r="B86" s="104"/>
      <c r="C86" s="243"/>
      <c r="D86" s="243"/>
      <c r="E86" s="243"/>
      <c r="F86" s="243"/>
      <c r="G86" s="243"/>
      <c r="H86" s="243"/>
      <c r="I86" s="243"/>
      <c r="J86" s="243"/>
      <c r="K86" s="243"/>
      <c r="L86" s="243"/>
      <c r="M86" s="243"/>
      <c r="N86" s="243"/>
      <c r="O86" s="243"/>
      <c r="P86" s="243"/>
      <c r="Q86" s="243"/>
      <c r="R86" s="243"/>
      <c r="S86" s="243"/>
      <c r="T86" s="243"/>
      <c r="U86" s="243"/>
      <c r="V86" s="243"/>
      <c r="W86" s="243"/>
      <c r="X86" s="243"/>
      <c r="Y86" s="243"/>
      <c r="Z86" s="243"/>
      <c r="AA86" s="243"/>
      <c r="AB86" s="243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  <c r="BA86" s="105"/>
      <c r="BB86" s="105"/>
      <c r="BC86" s="105"/>
      <c r="BD86" s="105"/>
      <c r="BE86" s="105"/>
      <c r="BF86" s="105"/>
      <c r="BG86" s="105"/>
      <c r="BH86" s="105"/>
      <c r="BI86" s="105"/>
      <c r="BJ86" s="105"/>
      <c r="BK86" s="105"/>
      <c r="BL86" s="105"/>
      <c r="BM86" s="105"/>
      <c r="BN86" s="105"/>
      <c r="BO86" s="105"/>
      <c r="BP86" s="105"/>
      <c r="BQ86" s="105"/>
      <c r="BR86" s="105"/>
      <c r="BS86" s="105"/>
      <c r="BT86" s="105"/>
      <c r="BU86" s="105"/>
      <c r="BV86" s="105"/>
      <c r="BW86" s="105"/>
      <c r="BX86" s="105"/>
      <c r="BY86" s="105"/>
      <c r="BZ86" s="105"/>
      <c r="CA86" s="105"/>
      <c r="CB86" s="105"/>
      <c r="CC86" s="105"/>
      <c r="CD86" s="105"/>
      <c r="CE86" s="105"/>
      <c r="CF86" s="105"/>
      <c r="CG86" s="105"/>
      <c r="CH86" s="105"/>
      <c r="CI86" s="105"/>
      <c r="CJ86" s="105"/>
      <c r="CK86" s="105"/>
      <c r="CL86" s="105"/>
      <c r="CM86" s="105"/>
      <c r="CN86" s="105"/>
      <c r="CO86" s="105"/>
      <c r="CP86" s="105"/>
      <c r="CQ86" s="105"/>
      <c r="CR86" s="105"/>
      <c r="CS86" s="105"/>
      <c r="CT86" s="105"/>
      <c r="CU86" s="105"/>
      <c r="CV86" s="105"/>
      <c r="CW86" s="105"/>
      <c r="CX86" s="105"/>
      <c r="CY86" s="105"/>
      <c r="CZ86" s="104"/>
      <c r="DA86" s="105"/>
      <c r="DB86" s="105"/>
      <c r="DC86" s="105"/>
      <c r="DD86" s="105"/>
      <c r="DE86" s="105"/>
      <c r="DF86" s="105"/>
      <c r="DG86" s="105"/>
      <c r="DH86" s="105"/>
      <c r="DI86" s="105"/>
      <c r="DJ86" s="105"/>
      <c r="DK86" s="104"/>
      <c r="DL86" s="104"/>
    </row>
    <row r="87" ht="12.0" customHeight="1">
      <c r="A87" s="104"/>
      <c r="B87" s="104"/>
      <c r="C87" s="243"/>
      <c r="D87" s="243"/>
      <c r="E87" s="243"/>
      <c r="F87" s="243"/>
      <c r="G87" s="243"/>
      <c r="H87" s="243"/>
      <c r="I87" s="243"/>
      <c r="J87" s="243"/>
      <c r="K87" s="243"/>
      <c r="L87" s="243"/>
      <c r="M87" s="243"/>
      <c r="N87" s="243"/>
      <c r="O87" s="243"/>
      <c r="P87" s="243"/>
      <c r="Q87" s="243"/>
      <c r="R87" s="243"/>
      <c r="S87" s="243"/>
      <c r="T87" s="243"/>
      <c r="U87" s="243"/>
      <c r="V87" s="243"/>
      <c r="W87" s="243"/>
      <c r="X87" s="243"/>
      <c r="Y87" s="243"/>
      <c r="Z87" s="243"/>
      <c r="AA87" s="243"/>
      <c r="AB87" s="243"/>
      <c r="AC87" s="105"/>
      <c r="AD87" s="105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  <c r="BA87" s="105"/>
      <c r="BB87" s="105"/>
      <c r="BC87" s="105"/>
      <c r="BD87" s="105"/>
      <c r="BE87" s="105"/>
      <c r="BF87" s="105"/>
      <c r="BG87" s="105"/>
      <c r="BH87" s="105"/>
      <c r="BI87" s="105"/>
      <c r="BJ87" s="105"/>
      <c r="BK87" s="105"/>
      <c r="BL87" s="105"/>
      <c r="BM87" s="105"/>
      <c r="BN87" s="105"/>
      <c r="BO87" s="105"/>
      <c r="BP87" s="105"/>
      <c r="BQ87" s="105"/>
      <c r="BR87" s="105"/>
      <c r="BS87" s="105"/>
      <c r="BT87" s="105"/>
      <c r="BU87" s="105"/>
      <c r="BV87" s="105"/>
      <c r="BW87" s="105"/>
      <c r="BX87" s="105"/>
      <c r="BY87" s="105"/>
      <c r="BZ87" s="105"/>
      <c r="CA87" s="105"/>
      <c r="CB87" s="105"/>
      <c r="CC87" s="105"/>
      <c r="CD87" s="105"/>
      <c r="CE87" s="105"/>
      <c r="CF87" s="105"/>
      <c r="CG87" s="105"/>
      <c r="CH87" s="105"/>
      <c r="CI87" s="105"/>
      <c r="CJ87" s="105"/>
      <c r="CK87" s="105"/>
      <c r="CL87" s="105"/>
      <c r="CM87" s="105"/>
      <c r="CN87" s="105"/>
      <c r="CO87" s="105"/>
      <c r="CP87" s="105"/>
      <c r="CQ87" s="105"/>
      <c r="CR87" s="105"/>
      <c r="CS87" s="105"/>
      <c r="CT87" s="105"/>
      <c r="CU87" s="105"/>
      <c r="CV87" s="105"/>
      <c r="CW87" s="105"/>
      <c r="CX87" s="105"/>
      <c r="CY87" s="105"/>
      <c r="CZ87" s="104"/>
      <c r="DA87" s="105"/>
      <c r="DB87" s="105"/>
      <c r="DC87" s="105"/>
      <c r="DD87" s="105"/>
      <c r="DE87" s="105"/>
      <c r="DF87" s="105"/>
      <c r="DG87" s="105"/>
      <c r="DH87" s="105"/>
      <c r="DI87" s="105"/>
      <c r="DJ87" s="105"/>
      <c r="DK87" s="104"/>
      <c r="DL87" s="104"/>
    </row>
    <row r="88" ht="12.0" customHeight="1">
      <c r="A88" s="104"/>
      <c r="B88" s="104"/>
      <c r="C88" s="243"/>
      <c r="D88" s="243"/>
      <c r="E88" s="243"/>
      <c r="F88" s="243"/>
      <c r="G88" s="243"/>
      <c r="H88" s="243"/>
      <c r="I88" s="243"/>
      <c r="J88" s="243"/>
      <c r="K88" s="243"/>
      <c r="L88" s="243"/>
      <c r="M88" s="243"/>
      <c r="N88" s="243"/>
      <c r="O88" s="243"/>
      <c r="P88" s="243"/>
      <c r="Q88" s="243"/>
      <c r="R88" s="243"/>
      <c r="S88" s="243"/>
      <c r="T88" s="243"/>
      <c r="U88" s="243"/>
      <c r="V88" s="243"/>
      <c r="W88" s="243"/>
      <c r="X88" s="243"/>
      <c r="Y88" s="243"/>
      <c r="Z88" s="243"/>
      <c r="AA88" s="243"/>
      <c r="AB88" s="243"/>
      <c r="AC88" s="105"/>
      <c r="AD88" s="105"/>
      <c r="AE88" s="105"/>
      <c r="AF88" s="105"/>
      <c r="AG88" s="105"/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105"/>
      <c r="AY88" s="105"/>
      <c r="AZ88" s="105"/>
      <c r="BA88" s="105"/>
      <c r="BB88" s="105"/>
      <c r="BC88" s="105"/>
      <c r="BD88" s="105"/>
      <c r="BE88" s="105"/>
      <c r="BF88" s="105"/>
      <c r="BG88" s="105"/>
      <c r="BH88" s="105"/>
      <c r="BI88" s="105"/>
      <c r="BJ88" s="105"/>
      <c r="BK88" s="105"/>
      <c r="BL88" s="105"/>
      <c r="BM88" s="105"/>
      <c r="BN88" s="105"/>
      <c r="BO88" s="105"/>
      <c r="BP88" s="105"/>
      <c r="BQ88" s="105"/>
      <c r="BR88" s="105"/>
      <c r="BS88" s="105"/>
      <c r="BT88" s="105"/>
      <c r="BU88" s="105"/>
      <c r="BV88" s="105"/>
      <c r="BW88" s="105"/>
      <c r="BX88" s="105"/>
      <c r="BY88" s="105"/>
      <c r="BZ88" s="105"/>
      <c r="CA88" s="105"/>
      <c r="CB88" s="105"/>
      <c r="CC88" s="105"/>
      <c r="CD88" s="105"/>
      <c r="CE88" s="105"/>
      <c r="CF88" s="105"/>
      <c r="CG88" s="105"/>
      <c r="CH88" s="105"/>
      <c r="CI88" s="105"/>
      <c r="CJ88" s="105"/>
      <c r="CK88" s="105"/>
      <c r="CL88" s="105"/>
      <c r="CM88" s="105"/>
      <c r="CN88" s="105"/>
      <c r="CO88" s="105"/>
      <c r="CP88" s="105"/>
      <c r="CQ88" s="105"/>
      <c r="CR88" s="105"/>
      <c r="CS88" s="105"/>
      <c r="CT88" s="105"/>
      <c r="CU88" s="105"/>
      <c r="CV88" s="105"/>
      <c r="CW88" s="105"/>
      <c r="CX88" s="105"/>
      <c r="CY88" s="105"/>
      <c r="CZ88" s="104"/>
      <c r="DA88" s="105"/>
      <c r="DB88" s="105"/>
      <c r="DC88" s="105"/>
      <c r="DD88" s="105"/>
      <c r="DE88" s="105"/>
      <c r="DF88" s="105"/>
      <c r="DG88" s="105"/>
      <c r="DH88" s="105"/>
      <c r="DI88" s="105"/>
      <c r="DJ88" s="105"/>
      <c r="DK88" s="104"/>
      <c r="DL88" s="104"/>
    </row>
    <row r="89" ht="12.0" customHeight="1">
      <c r="A89" s="104"/>
      <c r="B89" s="104"/>
      <c r="C89" s="243"/>
      <c r="D89" s="243"/>
      <c r="E89" s="243"/>
      <c r="F89" s="243"/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  <c r="BA89" s="105"/>
      <c r="BB89" s="105"/>
      <c r="BC89" s="105"/>
      <c r="BD89" s="105"/>
      <c r="BE89" s="105"/>
      <c r="BF89" s="105"/>
      <c r="BG89" s="105"/>
      <c r="BH89" s="105"/>
      <c r="BI89" s="105"/>
      <c r="BJ89" s="105"/>
      <c r="BK89" s="105"/>
      <c r="BL89" s="105"/>
      <c r="BM89" s="105"/>
      <c r="BN89" s="105"/>
      <c r="BO89" s="105"/>
      <c r="BP89" s="105"/>
      <c r="BQ89" s="105"/>
      <c r="BR89" s="105"/>
      <c r="BS89" s="105"/>
      <c r="BT89" s="105"/>
      <c r="BU89" s="105"/>
      <c r="BV89" s="105"/>
      <c r="BW89" s="105"/>
      <c r="BX89" s="105"/>
      <c r="BY89" s="105"/>
      <c r="BZ89" s="105"/>
      <c r="CA89" s="105"/>
      <c r="CB89" s="105"/>
      <c r="CC89" s="105"/>
      <c r="CD89" s="105"/>
      <c r="CE89" s="105"/>
      <c r="CF89" s="105"/>
      <c r="CG89" s="105"/>
      <c r="CH89" s="105"/>
      <c r="CI89" s="105"/>
      <c r="CJ89" s="105"/>
      <c r="CK89" s="105"/>
      <c r="CL89" s="105"/>
      <c r="CM89" s="105"/>
      <c r="CN89" s="105"/>
      <c r="CO89" s="105"/>
      <c r="CP89" s="105"/>
      <c r="CQ89" s="105"/>
      <c r="CR89" s="105"/>
      <c r="CS89" s="105"/>
      <c r="CT89" s="105"/>
      <c r="CU89" s="105"/>
      <c r="CV89" s="105"/>
      <c r="CW89" s="105"/>
      <c r="CX89" s="105"/>
      <c r="CY89" s="105"/>
      <c r="CZ89" s="104"/>
      <c r="DA89" s="105"/>
      <c r="DB89" s="105"/>
      <c r="DC89" s="105"/>
      <c r="DD89" s="105"/>
      <c r="DE89" s="105"/>
      <c r="DF89" s="105"/>
      <c r="DG89" s="105"/>
      <c r="DH89" s="105"/>
      <c r="DI89" s="105"/>
      <c r="DJ89" s="105"/>
      <c r="DK89" s="104"/>
      <c r="DL89" s="104"/>
    </row>
    <row r="90" ht="12.0" customHeight="1">
      <c r="A90" s="104"/>
      <c r="B90" s="104"/>
      <c r="C90" s="243"/>
      <c r="D90" s="243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3"/>
      <c r="S90" s="243"/>
      <c r="T90" s="243"/>
      <c r="U90" s="243"/>
      <c r="V90" s="243"/>
      <c r="W90" s="243"/>
      <c r="X90" s="243"/>
      <c r="Y90" s="243"/>
      <c r="Z90" s="243"/>
      <c r="AA90" s="243"/>
      <c r="AB90" s="243"/>
      <c r="AC90" s="105"/>
      <c r="AD90" s="105"/>
      <c r="AE90" s="105"/>
      <c r="AF90" s="105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  <c r="BA90" s="105"/>
      <c r="BB90" s="105"/>
      <c r="BC90" s="105"/>
      <c r="BD90" s="105"/>
      <c r="BE90" s="105"/>
      <c r="BF90" s="105"/>
      <c r="BG90" s="105"/>
      <c r="BH90" s="105"/>
      <c r="BI90" s="105"/>
      <c r="BJ90" s="105"/>
      <c r="BK90" s="105"/>
      <c r="BL90" s="105"/>
      <c r="BM90" s="105"/>
      <c r="BN90" s="105"/>
      <c r="BO90" s="105"/>
      <c r="BP90" s="105"/>
      <c r="BQ90" s="105"/>
      <c r="BR90" s="105"/>
      <c r="BS90" s="105"/>
      <c r="BT90" s="105"/>
      <c r="BU90" s="105"/>
      <c r="BV90" s="105"/>
      <c r="BW90" s="105"/>
      <c r="BX90" s="105"/>
      <c r="BY90" s="105"/>
      <c r="BZ90" s="105"/>
      <c r="CA90" s="105"/>
      <c r="CB90" s="105"/>
      <c r="CC90" s="105"/>
      <c r="CD90" s="105"/>
      <c r="CE90" s="105"/>
      <c r="CF90" s="105"/>
      <c r="CG90" s="105"/>
      <c r="CH90" s="105"/>
      <c r="CI90" s="105"/>
      <c r="CJ90" s="105"/>
      <c r="CK90" s="105"/>
      <c r="CL90" s="105"/>
      <c r="CM90" s="105"/>
      <c r="CN90" s="105"/>
      <c r="CO90" s="105"/>
      <c r="CP90" s="105"/>
      <c r="CQ90" s="105"/>
      <c r="CR90" s="105"/>
      <c r="CS90" s="105"/>
      <c r="CT90" s="105"/>
      <c r="CU90" s="105"/>
      <c r="CV90" s="105"/>
      <c r="CW90" s="105"/>
      <c r="CX90" s="105"/>
      <c r="CY90" s="105"/>
      <c r="CZ90" s="104"/>
      <c r="DA90" s="105"/>
      <c r="DB90" s="105"/>
      <c r="DC90" s="105"/>
      <c r="DD90" s="105"/>
      <c r="DE90" s="105"/>
      <c r="DF90" s="105"/>
      <c r="DG90" s="105"/>
      <c r="DH90" s="105"/>
      <c r="DI90" s="105"/>
      <c r="DJ90" s="105"/>
      <c r="DK90" s="104"/>
      <c r="DL90" s="104"/>
    </row>
    <row r="91" ht="12.0" customHeight="1">
      <c r="A91" s="104"/>
      <c r="B91" s="104"/>
      <c r="C91" s="243"/>
      <c r="D91" s="243"/>
      <c r="E91" s="243"/>
      <c r="F91" s="243"/>
      <c r="G91" s="243"/>
      <c r="H91" s="243"/>
      <c r="I91" s="243"/>
      <c r="J91" s="243"/>
      <c r="K91" s="243"/>
      <c r="L91" s="243"/>
      <c r="M91" s="243"/>
      <c r="N91" s="243"/>
      <c r="O91" s="243"/>
      <c r="P91" s="243"/>
      <c r="Q91" s="243"/>
      <c r="R91" s="243"/>
      <c r="S91" s="243"/>
      <c r="T91" s="243"/>
      <c r="U91" s="243"/>
      <c r="V91" s="243"/>
      <c r="W91" s="243"/>
      <c r="X91" s="243"/>
      <c r="Y91" s="243"/>
      <c r="Z91" s="243"/>
      <c r="AA91" s="243"/>
      <c r="AB91" s="243"/>
      <c r="AC91" s="105"/>
      <c r="AD91" s="105"/>
      <c r="AE91" s="105"/>
      <c r="AF91" s="105"/>
      <c r="AG91" s="105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  <c r="AT91" s="105"/>
      <c r="AU91" s="105"/>
      <c r="AV91" s="105"/>
      <c r="AW91" s="105"/>
      <c r="AX91" s="105"/>
      <c r="AY91" s="105"/>
      <c r="AZ91" s="105"/>
      <c r="BA91" s="105"/>
      <c r="BB91" s="105"/>
      <c r="BC91" s="105"/>
      <c r="BD91" s="105"/>
      <c r="BE91" s="105"/>
      <c r="BF91" s="105"/>
      <c r="BG91" s="105"/>
      <c r="BH91" s="105"/>
      <c r="BI91" s="105"/>
      <c r="BJ91" s="105"/>
      <c r="BK91" s="105"/>
      <c r="BL91" s="105"/>
      <c r="BM91" s="105"/>
      <c r="BN91" s="105"/>
      <c r="BO91" s="105"/>
      <c r="BP91" s="105"/>
      <c r="BQ91" s="105"/>
      <c r="BR91" s="105"/>
      <c r="BS91" s="105"/>
      <c r="BT91" s="105"/>
      <c r="BU91" s="105"/>
      <c r="BV91" s="105"/>
      <c r="BW91" s="105"/>
      <c r="BX91" s="105"/>
      <c r="BY91" s="105"/>
      <c r="BZ91" s="105"/>
      <c r="CA91" s="105"/>
      <c r="CB91" s="105"/>
      <c r="CC91" s="105"/>
      <c r="CD91" s="105"/>
      <c r="CE91" s="105"/>
      <c r="CF91" s="105"/>
      <c r="CG91" s="105"/>
      <c r="CH91" s="105"/>
      <c r="CI91" s="105"/>
      <c r="CJ91" s="105"/>
      <c r="CK91" s="105"/>
      <c r="CL91" s="105"/>
      <c r="CM91" s="105"/>
      <c r="CN91" s="105"/>
      <c r="CO91" s="105"/>
      <c r="CP91" s="105"/>
      <c r="CQ91" s="105"/>
      <c r="CR91" s="105"/>
      <c r="CS91" s="105"/>
      <c r="CT91" s="105"/>
      <c r="CU91" s="105"/>
      <c r="CV91" s="105"/>
      <c r="CW91" s="105"/>
      <c r="CX91" s="105"/>
      <c r="CY91" s="105"/>
      <c r="CZ91" s="104"/>
      <c r="DA91" s="105"/>
      <c r="DB91" s="105"/>
      <c r="DC91" s="105"/>
      <c r="DD91" s="105"/>
      <c r="DE91" s="105"/>
      <c r="DF91" s="105"/>
      <c r="DG91" s="105"/>
      <c r="DH91" s="105"/>
      <c r="DI91" s="105"/>
      <c r="DJ91" s="105"/>
      <c r="DK91" s="104"/>
      <c r="DL91" s="104"/>
    </row>
    <row r="92" ht="12.0" customHeight="1">
      <c r="A92" s="104"/>
      <c r="B92" s="104"/>
      <c r="C92" s="243"/>
      <c r="D92" s="243"/>
      <c r="E92" s="243"/>
      <c r="F92" s="243"/>
      <c r="G92" s="243"/>
      <c r="H92" s="243"/>
      <c r="I92" s="243"/>
      <c r="J92" s="243"/>
      <c r="K92" s="243"/>
      <c r="L92" s="243"/>
      <c r="M92" s="243"/>
      <c r="N92" s="243"/>
      <c r="O92" s="243"/>
      <c r="P92" s="243"/>
      <c r="Q92" s="243"/>
      <c r="R92" s="243"/>
      <c r="S92" s="243"/>
      <c r="T92" s="243"/>
      <c r="U92" s="243"/>
      <c r="V92" s="243"/>
      <c r="W92" s="243"/>
      <c r="X92" s="243"/>
      <c r="Y92" s="243"/>
      <c r="Z92" s="243"/>
      <c r="AA92" s="243"/>
      <c r="AB92" s="243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05"/>
      <c r="BA92" s="105"/>
      <c r="BB92" s="105"/>
      <c r="BC92" s="105"/>
      <c r="BD92" s="105"/>
      <c r="BE92" s="105"/>
      <c r="BF92" s="105"/>
      <c r="BG92" s="105"/>
      <c r="BH92" s="105"/>
      <c r="BI92" s="105"/>
      <c r="BJ92" s="105"/>
      <c r="BK92" s="105"/>
      <c r="BL92" s="105"/>
      <c r="BM92" s="105"/>
      <c r="BN92" s="105"/>
      <c r="BO92" s="105"/>
      <c r="BP92" s="105"/>
      <c r="BQ92" s="105"/>
      <c r="BR92" s="105"/>
      <c r="BS92" s="105"/>
      <c r="BT92" s="105"/>
      <c r="BU92" s="105"/>
      <c r="BV92" s="105"/>
      <c r="BW92" s="105"/>
      <c r="BX92" s="105"/>
      <c r="BY92" s="105"/>
      <c r="BZ92" s="105"/>
      <c r="CA92" s="105"/>
      <c r="CB92" s="105"/>
      <c r="CC92" s="105"/>
      <c r="CD92" s="105"/>
      <c r="CE92" s="105"/>
      <c r="CF92" s="105"/>
      <c r="CG92" s="105"/>
      <c r="CH92" s="105"/>
      <c r="CI92" s="105"/>
      <c r="CJ92" s="105"/>
      <c r="CK92" s="105"/>
      <c r="CL92" s="105"/>
      <c r="CM92" s="105"/>
      <c r="CN92" s="105"/>
      <c r="CO92" s="105"/>
      <c r="CP92" s="105"/>
      <c r="CQ92" s="105"/>
      <c r="CR92" s="105"/>
      <c r="CS92" s="105"/>
      <c r="CT92" s="105"/>
      <c r="CU92" s="105"/>
      <c r="CV92" s="105"/>
      <c r="CW92" s="105"/>
      <c r="CX92" s="105"/>
      <c r="CY92" s="105"/>
      <c r="CZ92" s="104"/>
      <c r="DA92" s="105"/>
      <c r="DB92" s="105"/>
      <c r="DC92" s="105"/>
      <c r="DD92" s="105"/>
      <c r="DE92" s="105"/>
      <c r="DF92" s="105"/>
      <c r="DG92" s="105"/>
      <c r="DH92" s="105"/>
      <c r="DI92" s="105"/>
      <c r="DJ92" s="105"/>
      <c r="DK92" s="104"/>
      <c r="DL92" s="104"/>
    </row>
    <row r="93" ht="12.0" customHeight="1">
      <c r="A93" s="104"/>
      <c r="B93" s="104"/>
      <c r="C93" s="243"/>
      <c r="D93" s="243"/>
      <c r="E93" s="243"/>
      <c r="F93" s="243"/>
      <c r="G93" s="243"/>
      <c r="H93" s="243"/>
      <c r="I93" s="243"/>
      <c r="J93" s="243"/>
      <c r="K93" s="243"/>
      <c r="L93" s="243"/>
      <c r="M93" s="243"/>
      <c r="N93" s="243"/>
      <c r="O93" s="243"/>
      <c r="P93" s="243"/>
      <c r="Q93" s="243"/>
      <c r="R93" s="243"/>
      <c r="S93" s="243"/>
      <c r="T93" s="243"/>
      <c r="U93" s="243"/>
      <c r="V93" s="243"/>
      <c r="W93" s="243"/>
      <c r="X93" s="243"/>
      <c r="Y93" s="243"/>
      <c r="Z93" s="243"/>
      <c r="AA93" s="243"/>
      <c r="AB93" s="243"/>
      <c r="AC93" s="105"/>
      <c r="AD93" s="105"/>
      <c r="AE93" s="105"/>
      <c r="AF93" s="105"/>
      <c r="AG93" s="105"/>
      <c r="AH93" s="105"/>
      <c r="AI93" s="105"/>
      <c r="AJ93" s="105"/>
      <c r="AK93" s="105"/>
      <c r="AL93" s="105"/>
      <c r="AM93" s="105"/>
      <c r="AN93" s="105"/>
      <c r="AO93" s="105"/>
      <c r="AP93" s="105"/>
      <c r="AQ93" s="105"/>
      <c r="AR93" s="105"/>
      <c r="AS93" s="105"/>
      <c r="AT93" s="105"/>
      <c r="AU93" s="105"/>
      <c r="AV93" s="105"/>
      <c r="AW93" s="105"/>
      <c r="AX93" s="105"/>
      <c r="AY93" s="105"/>
      <c r="AZ93" s="105"/>
      <c r="BA93" s="105"/>
      <c r="BB93" s="105"/>
      <c r="BC93" s="105"/>
      <c r="BD93" s="105"/>
      <c r="BE93" s="105"/>
      <c r="BF93" s="105"/>
      <c r="BG93" s="105"/>
      <c r="BH93" s="105"/>
      <c r="BI93" s="105"/>
      <c r="BJ93" s="105"/>
      <c r="BK93" s="105"/>
      <c r="BL93" s="105"/>
      <c r="BM93" s="105"/>
      <c r="BN93" s="105"/>
      <c r="BO93" s="105"/>
      <c r="BP93" s="105"/>
      <c r="BQ93" s="105"/>
      <c r="BR93" s="105"/>
      <c r="BS93" s="105"/>
      <c r="BT93" s="105"/>
      <c r="BU93" s="105"/>
      <c r="BV93" s="105"/>
      <c r="BW93" s="105"/>
      <c r="BX93" s="105"/>
      <c r="BY93" s="105"/>
      <c r="BZ93" s="105"/>
      <c r="CA93" s="105"/>
      <c r="CB93" s="105"/>
      <c r="CC93" s="105"/>
      <c r="CD93" s="105"/>
      <c r="CE93" s="105"/>
      <c r="CF93" s="105"/>
      <c r="CG93" s="105"/>
      <c r="CH93" s="105"/>
      <c r="CI93" s="105"/>
      <c r="CJ93" s="105"/>
      <c r="CK93" s="105"/>
      <c r="CL93" s="105"/>
      <c r="CM93" s="105"/>
      <c r="CN93" s="105"/>
      <c r="CO93" s="105"/>
      <c r="CP93" s="105"/>
      <c r="CQ93" s="105"/>
      <c r="CR93" s="105"/>
      <c r="CS93" s="105"/>
      <c r="CT93" s="105"/>
      <c r="CU93" s="105"/>
      <c r="CV93" s="105"/>
      <c r="CW93" s="105"/>
      <c r="CX93" s="105"/>
      <c r="CY93" s="105"/>
      <c r="CZ93" s="104"/>
      <c r="DA93" s="105"/>
      <c r="DB93" s="105"/>
      <c r="DC93" s="105"/>
      <c r="DD93" s="105"/>
      <c r="DE93" s="105"/>
      <c r="DF93" s="105"/>
      <c r="DG93" s="105"/>
      <c r="DH93" s="105"/>
      <c r="DI93" s="105"/>
      <c r="DJ93" s="105"/>
      <c r="DK93" s="104"/>
      <c r="DL93" s="104"/>
    </row>
    <row r="94" ht="12.0" customHeight="1">
      <c r="A94" s="104"/>
      <c r="B94" s="104"/>
      <c r="C94" s="243"/>
      <c r="D94" s="243"/>
      <c r="E94" s="243"/>
      <c r="F94" s="243"/>
      <c r="G94" s="243"/>
      <c r="H94" s="243"/>
      <c r="I94" s="243"/>
      <c r="J94" s="243"/>
      <c r="K94" s="243"/>
      <c r="L94" s="243"/>
      <c r="M94" s="243"/>
      <c r="N94" s="243"/>
      <c r="O94" s="243"/>
      <c r="P94" s="243"/>
      <c r="Q94" s="243"/>
      <c r="R94" s="243"/>
      <c r="S94" s="243"/>
      <c r="T94" s="243"/>
      <c r="U94" s="243"/>
      <c r="V94" s="243"/>
      <c r="W94" s="243"/>
      <c r="X94" s="243"/>
      <c r="Y94" s="243"/>
      <c r="Z94" s="243"/>
      <c r="AA94" s="243"/>
      <c r="AB94" s="243"/>
      <c r="AC94" s="105"/>
      <c r="AD94" s="105"/>
      <c r="AE94" s="105"/>
      <c r="AF94" s="105"/>
      <c r="AG94" s="105"/>
      <c r="AH94" s="105"/>
      <c r="AI94" s="105"/>
      <c r="AJ94" s="105"/>
      <c r="AK94" s="105"/>
      <c r="AL94" s="105"/>
      <c r="AM94" s="105"/>
      <c r="AN94" s="105"/>
      <c r="AO94" s="105"/>
      <c r="AP94" s="105"/>
      <c r="AQ94" s="105"/>
      <c r="AR94" s="105"/>
      <c r="AS94" s="105"/>
      <c r="AT94" s="105"/>
      <c r="AU94" s="105"/>
      <c r="AV94" s="105"/>
      <c r="AW94" s="105"/>
      <c r="AX94" s="105"/>
      <c r="AY94" s="105"/>
      <c r="AZ94" s="105"/>
      <c r="BA94" s="105"/>
      <c r="BB94" s="105"/>
      <c r="BC94" s="105"/>
      <c r="BD94" s="105"/>
      <c r="BE94" s="105"/>
      <c r="BF94" s="105"/>
      <c r="BG94" s="105"/>
      <c r="BH94" s="105"/>
      <c r="BI94" s="105"/>
      <c r="BJ94" s="105"/>
      <c r="BK94" s="105"/>
      <c r="BL94" s="105"/>
      <c r="BM94" s="105"/>
      <c r="BN94" s="105"/>
      <c r="BO94" s="105"/>
      <c r="BP94" s="105"/>
      <c r="BQ94" s="105"/>
      <c r="BR94" s="105"/>
      <c r="BS94" s="105"/>
      <c r="BT94" s="105"/>
      <c r="BU94" s="105"/>
      <c r="BV94" s="105"/>
      <c r="BW94" s="105"/>
      <c r="BX94" s="105"/>
      <c r="BY94" s="105"/>
      <c r="BZ94" s="105"/>
      <c r="CA94" s="105"/>
      <c r="CB94" s="105"/>
      <c r="CC94" s="105"/>
      <c r="CD94" s="105"/>
      <c r="CE94" s="105"/>
      <c r="CF94" s="105"/>
      <c r="CG94" s="105"/>
      <c r="CH94" s="105"/>
      <c r="CI94" s="105"/>
      <c r="CJ94" s="105"/>
      <c r="CK94" s="105"/>
      <c r="CL94" s="105"/>
      <c r="CM94" s="105"/>
      <c r="CN94" s="105"/>
      <c r="CO94" s="105"/>
      <c r="CP94" s="105"/>
      <c r="CQ94" s="105"/>
      <c r="CR94" s="105"/>
      <c r="CS94" s="105"/>
      <c r="CT94" s="105"/>
      <c r="CU94" s="105"/>
      <c r="CV94" s="105"/>
      <c r="CW94" s="105"/>
      <c r="CX94" s="105"/>
      <c r="CY94" s="105"/>
      <c r="CZ94" s="104"/>
      <c r="DA94" s="105"/>
      <c r="DB94" s="105"/>
      <c r="DC94" s="105"/>
      <c r="DD94" s="105"/>
      <c r="DE94" s="105"/>
      <c r="DF94" s="105"/>
      <c r="DG94" s="105"/>
      <c r="DH94" s="105"/>
      <c r="DI94" s="105"/>
      <c r="DJ94" s="105"/>
      <c r="DK94" s="104"/>
      <c r="DL94" s="104"/>
    </row>
    <row r="95" ht="12.0" customHeight="1">
      <c r="A95" s="104"/>
      <c r="B95" s="104"/>
      <c r="C95" s="243"/>
      <c r="D95" s="243"/>
      <c r="E95" s="243"/>
      <c r="F95" s="243"/>
      <c r="G95" s="243"/>
      <c r="H95" s="243"/>
      <c r="I95" s="243"/>
      <c r="J95" s="243"/>
      <c r="K95" s="243"/>
      <c r="L95" s="243"/>
      <c r="M95" s="243"/>
      <c r="N95" s="243"/>
      <c r="O95" s="243"/>
      <c r="P95" s="243"/>
      <c r="Q95" s="243"/>
      <c r="R95" s="243"/>
      <c r="S95" s="243"/>
      <c r="T95" s="243"/>
      <c r="U95" s="243"/>
      <c r="V95" s="243"/>
      <c r="W95" s="243"/>
      <c r="X95" s="243"/>
      <c r="Y95" s="243"/>
      <c r="Z95" s="243"/>
      <c r="AA95" s="243"/>
      <c r="AB95" s="243"/>
      <c r="AC95" s="105"/>
      <c r="AD95" s="105"/>
      <c r="AE95" s="105"/>
      <c r="AF95" s="105"/>
      <c r="AG95" s="105"/>
      <c r="AH95" s="105"/>
      <c r="AI95" s="105"/>
      <c r="AJ95" s="105"/>
      <c r="AK95" s="105"/>
      <c r="AL95" s="105"/>
      <c r="AM95" s="105"/>
      <c r="AN95" s="105"/>
      <c r="AO95" s="105"/>
      <c r="AP95" s="105"/>
      <c r="AQ95" s="105"/>
      <c r="AR95" s="105"/>
      <c r="AS95" s="105"/>
      <c r="AT95" s="105"/>
      <c r="AU95" s="105"/>
      <c r="AV95" s="105"/>
      <c r="AW95" s="105"/>
      <c r="AX95" s="105"/>
      <c r="AY95" s="105"/>
      <c r="AZ95" s="105"/>
      <c r="BA95" s="105"/>
      <c r="BB95" s="105"/>
      <c r="BC95" s="105"/>
      <c r="BD95" s="105"/>
      <c r="BE95" s="105"/>
      <c r="BF95" s="105"/>
      <c r="BG95" s="105"/>
      <c r="BH95" s="105"/>
      <c r="BI95" s="105"/>
      <c r="BJ95" s="105"/>
      <c r="BK95" s="105"/>
      <c r="BL95" s="105"/>
      <c r="BM95" s="105"/>
      <c r="BN95" s="105"/>
      <c r="BO95" s="105"/>
      <c r="BP95" s="105"/>
      <c r="BQ95" s="105"/>
      <c r="BR95" s="105"/>
      <c r="BS95" s="105"/>
      <c r="BT95" s="105"/>
      <c r="BU95" s="105"/>
      <c r="BV95" s="105"/>
      <c r="BW95" s="105"/>
      <c r="BX95" s="105"/>
      <c r="BY95" s="105"/>
      <c r="BZ95" s="105"/>
      <c r="CA95" s="105"/>
      <c r="CB95" s="105"/>
      <c r="CC95" s="105"/>
      <c r="CD95" s="105"/>
      <c r="CE95" s="105"/>
      <c r="CF95" s="105"/>
      <c r="CG95" s="105"/>
      <c r="CH95" s="105"/>
      <c r="CI95" s="105"/>
      <c r="CJ95" s="105"/>
      <c r="CK95" s="105"/>
      <c r="CL95" s="105"/>
      <c r="CM95" s="105"/>
      <c r="CN95" s="105"/>
      <c r="CO95" s="105"/>
      <c r="CP95" s="105"/>
      <c r="CQ95" s="105"/>
      <c r="CR95" s="105"/>
      <c r="CS95" s="105"/>
      <c r="CT95" s="105"/>
      <c r="CU95" s="105"/>
      <c r="CV95" s="105"/>
      <c r="CW95" s="105"/>
      <c r="CX95" s="105"/>
      <c r="CY95" s="105"/>
      <c r="CZ95" s="104"/>
      <c r="DA95" s="105"/>
      <c r="DB95" s="105"/>
      <c r="DC95" s="105"/>
      <c r="DD95" s="105"/>
      <c r="DE95" s="105"/>
      <c r="DF95" s="105"/>
      <c r="DG95" s="105"/>
      <c r="DH95" s="105"/>
      <c r="DI95" s="105"/>
      <c r="DJ95" s="105"/>
      <c r="DK95" s="104"/>
      <c r="DL95" s="104"/>
    </row>
    <row r="96" ht="12.0" customHeight="1">
      <c r="A96" s="104"/>
      <c r="B96" s="104"/>
      <c r="C96" s="243"/>
      <c r="D96" s="243"/>
      <c r="E96" s="243"/>
      <c r="F96" s="243"/>
      <c r="G96" s="243"/>
      <c r="H96" s="243"/>
      <c r="I96" s="243"/>
      <c r="J96" s="243"/>
      <c r="K96" s="243"/>
      <c r="L96" s="243"/>
      <c r="M96" s="243"/>
      <c r="N96" s="243"/>
      <c r="O96" s="243"/>
      <c r="P96" s="243"/>
      <c r="Q96" s="243"/>
      <c r="R96" s="243"/>
      <c r="S96" s="243"/>
      <c r="T96" s="243"/>
      <c r="U96" s="243"/>
      <c r="V96" s="243"/>
      <c r="W96" s="243"/>
      <c r="X96" s="243"/>
      <c r="Y96" s="243"/>
      <c r="Z96" s="243"/>
      <c r="AA96" s="243"/>
      <c r="AB96" s="243"/>
      <c r="AC96" s="105"/>
      <c r="AD96" s="105"/>
      <c r="AE96" s="105"/>
      <c r="AF96" s="105"/>
      <c r="AG96" s="105"/>
      <c r="AH96" s="105"/>
      <c r="AI96" s="105"/>
      <c r="AJ96" s="105"/>
      <c r="AK96" s="105"/>
      <c r="AL96" s="105"/>
      <c r="AM96" s="105"/>
      <c r="AN96" s="105"/>
      <c r="AO96" s="105"/>
      <c r="AP96" s="105"/>
      <c r="AQ96" s="105"/>
      <c r="AR96" s="105"/>
      <c r="AS96" s="105"/>
      <c r="AT96" s="105"/>
      <c r="AU96" s="105"/>
      <c r="AV96" s="105"/>
      <c r="AW96" s="105"/>
      <c r="AX96" s="105"/>
      <c r="AY96" s="105"/>
      <c r="AZ96" s="105"/>
      <c r="BA96" s="105"/>
      <c r="BB96" s="105"/>
      <c r="BC96" s="105"/>
      <c r="BD96" s="105"/>
      <c r="BE96" s="105"/>
      <c r="BF96" s="105"/>
      <c r="BG96" s="105"/>
      <c r="BH96" s="105"/>
      <c r="BI96" s="105"/>
      <c r="BJ96" s="105"/>
      <c r="BK96" s="105"/>
      <c r="BL96" s="105"/>
      <c r="BM96" s="105"/>
      <c r="BN96" s="105"/>
      <c r="BO96" s="105"/>
      <c r="BP96" s="105"/>
      <c r="BQ96" s="105"/>
      <c r="BR96" s="105"/>
      <c r="BS96" s="105"/>
      <c r="BT96" s="105"/>
      <c r="BU96" s="105"/>
      <c r="BV96" s="105"/>
      <c r="BW96" s="105"/>
      <c r="BX96" s="105"/>
      <c r="BY96" s="105"/>
      <c r="BZ96" s="105"/>
      <c r="CA96" s="105"/>
      <c r="CB96" s="105"/>
      <c r="CC96" s="105"/>
      <c r="CD96" s="105"/>
      <c r="CE96" s="105"/>
      <c r="CF96" s="105"/>
      <c r="CG96" s="105"/>
      <c r="CH96" s="105"/>
      <c r="CI96" s="105"/>
      <c r="CJ96" s="105"/>
      <c r="CK96" s="105"/>
      <c r="CL96" s="105"/>
      <c r="CM96" s="105"/>
      <c r="CN96" s="105"/>
      <c r="CO96" s="105"/>
      <c r="CP96" s="105"/>
      <c r="CQ96" s="105"/>
      <c r="CR96" s="105"/>
      <c r="CS96" s="105"/>
      <c r="CT96" s="105"/>
      <c r="CU96" s="105"/>
      <c r="CV96" s="105"/>
      <c r="CW96" s="105"/>
      <c r="CX96" s="105"/>
      <c r="CY96" s="105"/>
      <c r="CZ96" s="104"/>
      <c r="DA96" s="105"/>
      <c r="DB96" s="105"/>
      <c r="DC96" s="105"/>
      <c r="DD96" s="105"/>
      <c r="DE96" s="105"/>
      <c r="DF96" s="105"/>
      <c r="DG96" s="105"/>
      <c r="DH96" s="105"/>
      <c r="DI96" s="105"/>
      <c r="DJ96" s="105"/>
      <c r="DK96" s="104"/>
      <c r="DL96" s="104"/>
    </row>
    <row r="97" ht="12.0" customHeight="1">
      <c r="A97" s="104"/>
      <c r="B97" s="104"/>
      <c r="C97" s="243"/>
      <c r="D97" s="243"/>
      <c r="E97" s="243"/>
      <c r="F97" s="243"/>
      <c r="G97" s="243"/>
      <c r="H97" s="243"/>
      <c r="I97" s="243"/>
      <c r="J97" s="243"/>
      <c r="K97" s="243"/>
      <c r="L97" s="243"/>
      <c r="M97" s="243"/>
      <c r="N97" s="243"/>
      <c r="O97" s="243"/>
      <c r="P97" s="243"/>
      <c r="Q97" s="243"/>
      <c r="R97" s="243"/>
      <c r="S97" s="243"/>
      <c r="T97" s="243"/>
      <c r="U97" s="243"/>
      <c r="V97" s="243"/>
      <c r="W97" s="243"/>
      <c r="X97" s="243"/>
      <c r="Y97" s="243"/>
      <c r="Z97" s="243"/>
      <c r="AA97" s="243"/>
      <c r="AB97" s="243"/>
      <c r="AC97" s="105"/>
      <c r="AD97" s="105"/>
      <c r="AE97" s="105"/>
      <c r="AF97" s="105"/>
      <c r="AG97" s="105"/>
      <c r="AH97" s="105"/>
      <c r="AI97" s="105"/>
      <c r="AJ97" s="105"/>
      <c r="AK97" s="105"/>
      <c r="AL97" s="105"/>
      <c r="AM97" s="105"/>
      <c r="AN97" s="105"/>
      <c r="AO97" s="105"/>
      <c r="AP97" s="105"/>
      <c r="AQ97" s="105"/>
      <c r="AR97" s="105"/>
      <c r="AS97" s="105"/>
      <c r="AT97" s="105"/>
      <c r="AU97" s="105"/>
      <c r="AV97" s="105"/>
      <c r="AW97" s="105"/>
      <c r="AX97" s="105"/>
      <c r="AY97" s="105"/>
      <c r="AZ97" s="105"/>
      <c r="BA97" s="105"/>
      <c r="BB97" s="105"/>
      <c r="BC97" s="105"/>
      <c r="BD97" s="105"/>
      <c r="BE97" s="105"/>
      <c r="BF97" s="105"/>
      <c r="BG97" s="105"/>
      <c r="BH97" s="105"/>
      <c r="BI97" s="105"/>
      <c r="BJ97" s="105"/>
      <c r="BK97" s="105"/>
      <c r="BL97" s="105"/>
      <c r="BM97" s="105"/>
      <c r="BN97" s="105"/>
      <c r="BO97" s="105"/>
      <c r="BP97" s="105"/>
      <c r="BQ97" s="105"/>
      <c r="BR97" s="105"/>
      <c r="BS97" s="105"/>
      <c r="BT97" s="105"/>
      <c r="BU97" s="105"/>
      <c r="BV97" s="105"/>
      <c r="BW97" s="105"/>
      <c r="BX97" s="105"/>
      <c r="BY97" s="105"/>
      <c r="BZ97" s="105"/>
      <c r="CA97" s="105"/>
      <c r="CB97" s="105"/>
      <c r="CC97" s="105"/>
      <c r="CD97" s="105"/>
      <c r="CE97" s="105"/>
      <c r="CF97" s="105"/>
      <c r="CG97" s="105"/>
      <c r="CH97" s="105"/>
      <c r="CI97" s="105"/>
      <c r="CJ97" s="105"/>
      <c r="CK97" s="105"/>
      <c r="CL97" s="105"/>
      <c r="CM97" s="105"/>
      <c r="CN97" s="105"/>
      <c r="CO97" s="105"/>
      <c r="CP97" s="105"/>
      <c r="CQ97" s="105"/>
      <c r="CR97" s="105"/>
      <c r="CS97" s="105"/>
      <c r="CT97" s="105"/>
      <c r="CU97" s="105"/>
      <c r="CV97" s="105"/>
      <c r="CW97" s="105"/>
      <c r="CX97" s="105"/>
      <c r="CY97" s="105"/>
      <c r="CZ97" s="104"/>
      <c r="DA97" s="105"/>
      <c r="DB97" s="105"/>
      <c r="DC97" s="105"/>
      <c r="DD97" s="105"/>
      <c r="DE97" s="105"/>
      <c r="DF97" s="105"/>
      <c r="DG97" s="105"/>
      <c r="DH97" s="105"/>
      <c r="DI97" s="105"/>
      <c r="DJ97" s="105"/>
      <c r="DK97" s="104"/>
      <c r="DL97" s="104"/>
    </row>
    <row r="98" ht="12.0" customHeight="1">
      <c r="A98" s="104"/>
      <c r="B98" s="104"/>
      <c r="C98" s="243"/>
      <c r="D98" s="243"/>
      <c r="E98" s="243"/>
      <c r="F98" s="243"/>
      <c r="G98" s="243"/>
      <c r="H98" s="243"/>
      <c r="I98" s="243"/>
      <c r="J98" s="243"/>
      <c r="K98" s="243"/>
      <c r="L98" s="243"/>
      <c r="M98" s="243"/>
      <c r="N98" s="243"/>
      <c r="O98" s="243"/>
      <c r="P98" s="243"/>
      <c r="Q98" s="243"/>
      <c r="R98" s="243"/>
      <c r="S98" s="243"/>
      <c r="T98" s="243"/>
      <c r="U98" s="243"/>
      <c r="V98" s="243"/>
      <c r="W98" s="243"/>
      <c r="X98" s="243"/>
      <c r="Y98" s="243"/>
      <c r="Z98" s="243"/>
      <c r="AA98" s="243"/>
      <c r="AB98" s="243"/>
      <c r="AC98" s="105"/>
      <c r="AD98" s="105"/>
      <c r="AE98" s="105"/>
      <c r="AF98" s="105"/>
      <c r="AG98" s="105"/>
      <c r="AH98" s="105"/>
      <c r="AI98" s="105"/>
      <c r="AJ98" s="105"/>
      <c r="AK98" s="105"/>
      <c r="AL98" s="105"/>
      <c r="AM98" s="105"/>
      <c r="AN98" s="105"/>
      <c r="AO98" s="105"/>
      <c r="AP98" s="105"/>
      <c r="AQ98" s="105"/>
      <c r="AR98" s="105"/>
      <c r="AS98" s="105"/>
      <c r="AT98" s="105"/>
      <c r="AU98" s="105"/>
      <c r="AV98" s="105"/>
      <c r="AW98" s="105"/>
      <c r="AX98" s="105"/>
      <c r="AY98" s="105"/>
      <c r="AZ98" s="105"/>
      <c r="BA98" s="105"/>
      <c r="BB98" s="105"/>
      <c r="BC98" s="105"/>
      <c r="BD98" s="105"/>
      <c r="BE98" s="105"/>
      <c r="BF98" s="105"/>
      <c r="BG98" s="105"/>
      <c r="BH98" s="105"/>
      <c r="BI98" s="105"/>
      <c r="BJ98" s="105"/>
      <c r="BK98" s="105"/>
      <c r="BL98" s="105"/>
      <c r="BM98" s="105"/>
      <c r="BN98" s="105"/>
      <c r="BO98" s="105"/>
      <c r="BP98" s="105"/>
      <c r="BQ98" s="105"/>
      <c r="BR98" s="105"/>
      <c r="BS98" s="105"/>
      <c r="BT98" s="105"/>
      <c r="BU98" s="105"/>
      <c r="BV98" s="105"/>
      <c r="BW98" s="105"/>
      <c r="BX98" s="105"/>
      <c r="BY98" s="105"/>
      <c r="BZ98" s="105"/>
      <c r="CA98" s="105"/>
      <c r="CB98" s="105"/>
      <c r="CC98" s="105"/>
      <c r="CD98" s="105"/>
      <c r="CE98" s="105"/>
      <c r="CF98" s="105"/>
      <c r="CG98" s="105"/>
      <c r="CH98" s="105"/>
      <c r="CI98" s="105"/>
      <c r="CJ98" s="105"/>
      <c r="CK98" s="105"/>
      <c r="CL98" s="105"/>
      <c r="CM98" s="105"/>
      <c r="CN98" s="105"/>
      <c r="CO98" s="105"/>
      <c r="CP98" s="105"/>
      <c r="CQ98" s="105"/>
      <c r="CR98" s="105"/>
      <c r="CS98" s="105"/>
      <c r="CT98" s="105"/>
      <c r="CU98" s="105"/>
      <c r="CV98" s="105"/>
      <c r="CW98" s="105"/>
      <c r="CX98" s="105"/>
      <c r="CY98" s="105"/>
      <c r="CZ98" s="104"/>
      <c r="DA98" s="105"/>
      <c r="DB98" s="105"/>
      <c r="DC98" s="105"/>
      <c r="DD98" s="105"/>
      <c r="DE98" s="105"/>
      <c r="DF98" s="105"/>
      <c r="DG98" s="105"/>
      <c r="DH98" s="105"/>
      <c r="DI98" s="105"/>
      <c r="DJ98" s="105"/>
      <c r="DK98" s="104"/>
      <c r="DL98" s="104"/>
    </row>
    <row r="99" ht="12.0" customHeight="1">
      <c r="A99" s="104"/>
      <c r="B99" s="104"/>
      <c r="C99" s="243"/>
      <c r="D99" s="243"/>
      <c r="E99" s="243"/>
      <c r="F99" s="243"/>
      <c r="G99" s="243"/>
      <c r="H99" s="243"/>
      <c r="I99" s="243"/>
      <c r="J99" s="243"/>
      <c r="K99" s="243"/>
      <c r="L99" s="243"/>
      <c r="M99" s="243"/>
      <c r="N99" s="243"/>
      <c r="O99" s="243"/>
      <c r="P99" s="243"/>
      <c r="Q99" s="243"/>
      <c r="R99" s="243"/>
      <c r="S99" s="243"/>
      <c r="T99" s="243"/>
      <c r="U99" s="243"/>
      <c r="V99" s="243"/>
      <c r="W99" s="243"/>
      <c r="X99" s="243"/>
      <c r="Y99" s="243"/>
      <c r="Z99" s="243"/>
      <c r="AA99" s="243"/>
      <c r="AB99" s="243"/>
      <c r="AC99" s="105"/>
      <c r="AD99" s="105"/>
      <c r="AE99" s="105"/>
      <c r="AF99" s="105"/>
      <c r="AG99" s="105"/>
      <c r="AH99" s="105"/>
      <c r="AI99" s="105"/>
      <c r="AJ99" s="105"/>
      <c r="AK99" s="105"/>
      <c r="AL99" s="105"/>
      <c r="AM99" s="105"/>
      <c r="AN99" s="105"/>
      <c r="AO99" s="105"/>
      <c r="AP99" s="105"/>
      <c r="AQ99" s="105"/>
      <c r="AR99" s="105"/>
      <c r="AS99" s="105"/>
      <c r="AT99" s="105"/>
      <c r="AU99" s="105"/>
      <c r="AV99" s="105"/>
      <c r="AW99" s="105"/>
      <c r="AX99" s="105"/>
      <c r="AY99" s="105"/>
      <c r="AZ99" s="105"/>
      <c r="BA99" s="105"/>
      <c r="BB99" s="105"/>
      <c r="BC99" s="105"/>
      <c r="BD99" s="105"/>
      <c r="BE99" s="105"/>
      <c r="BF99" s="105"/>
      <c r="BG99" s="105"/>
      <c r="BH99" s="105"/>
      <c r="BI99" s="105"/>
      <c r="BJ99" s="105"/>
      <c r="BK99" s="105"/>
      <c r="BL99" s="105"/>
      <c r="BM99" s="105"/>
      <c r="BN99" s="105"/>
      <c r="BO99" s="105"/>
      <c r="BP99" s="105"/>
      <c r="BQ99" s="105"/>
      <c r="BR99" s="105"/>
      <c r="BS99" s="105"/>
      <c r="BT99" s="105"/>
      <c r="BU99" s="105"/>
      <c r="BV99" s="105"/>
      <c r="BW99" s="105"/>
      <c r="BX99" s="105"/>
      <c r="BY99" s="105"/>
      <c r="BZ99" s="105"/>
      <c r="CA99" s="105"/>
      <c r="CB99" s="105"/>
      <c r="CC99" s="105"/>
      <c r="CD99" s="105"/>
      <c r="CE99" s="105"/>
      <c r="CF99" s="105"/>
      <c r="CG99" s="105"/>
      <c r="CH99" s="105"/>
      <c r="CI99" s="105"/>
      <c r="CJ99" s="105"/>
      <c r="CK99" s="105"/>
      <c r="CL99" s="105"/>
      <c r="CM99" s="105"/>
      <c r="CN99" s="105"/>
      <c r="CO99" s="105"/>
      <c r="CP99" s="105"/>
      <c r="CQ99" s="105"/>
      <c r="CR99" s="105"/>
      <c r="CS99" s="105"/>
      <c r="CT99" s="105"/>
      <c r="CU99" s="105"/>
      <c r="CV99" s="105"/>
      <c r="CW99" s="105"/>
      <c r="CX99" s="105"/>
      <c r="CY99" s="105"/>
      <c r="CZ99" s="104"/>
      <c r="DA99" s="105"/>
      <c r="DB99" s="105"/>
      <c r="DC99" s="105"/>
      <c r="DD99" s="105"/>
      <c r="DE99" s="105"/>
      <c r="DF99" s="105"/>
      <c r="DG99" s="105"/>
      <c r="DH99" s="105"/>
      <c r="DI99" s="105"/>
      <c r="DJ99" s="105"/>
      <c r="DK99" s="104"/>
      <c r="DL99" s="104"/>
    </row>
    <row r="100" ht="12.0" customHeight="1">
      <c r="A100" s="104"/>
      <c r="B100" s="104"/>
      <c r="C100" s="243"/>
      <c r="D100" s="243"/>
      <c r="E100" s="243"/>
      <c r="F100" s="243"/>
      <c r="G100" s="243"/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3"/>
      <c r="S100" s="243"/>
      <c r="T100" s="243"/>
      <c r="U100" s="243"/>
      <c r="V100" s="243"/>
      <c r="W100" s="243"/>
      <c r="X100" s="243"/>
      <c r="Y100" s="243"/>
      <c r="Z100" s="243"/>
      <c r="AA100" s="243"/>
      <c r="AB100" s="243"/>
      <c r="AC100" s="105"/>
      <c r="AD100" s="105"/>
      <c r="AE100" s="105"/>
      <c r="AF100" s="105"/>
      <c r="AG100" s="105"/>
      <c r="AH100" s="105"/>
      <c r="AI100" s="105"/>
      <c r="AJ100" s="105"/>
      <c r="AK100" s="105"/>
      <c r="AL100" s="105"/>
      <c r="AM100" s="105"/>
      <c r="AN100" s="105"/>
      <c r="AO100" s="105"/>
      <c r="AP100" s="105"/>
      <c r="AQ100" s="105"/>
      <c r="AR100" s="105"/>
      <c r="AS100" s="105"/>
      <c r="AT100" s="105"/>
      <c r="AU100" s="105"/>
      <c r="AV100" s="105"/>
      <c r="AW100" s="105"/>
      <c r="AX100" s="105"/>
      <c r="AY100" s="105"/>
      <c r="AZ100" s="105"/>
      <c r="BA100" s="105"/>
      <c r="BB100" s="105"/>
      <c r="BC100" s="105"/>
      <c r="BD100" s="105"/>
      <c r="BE100" s="105"/>
      <c r="BF100" s="105"/>
      <c r="BG100" s="105"/>
      <c r="BH100" s="105"/>
      <c r="BI100" s="105"/>
      <c r="BJ100" s="105"/>
      <c r="BK100" s="105"/>
      <c r="BL100" s="105"/>
      <c r="BM100" s="105"/>
      <c r="BN100" s="105"/>
      <c r="BO100" s="105"/>
      <c r="BP100" s="105"/>
      <c r="BQ100" s="105"/>
      <c r="BR100" s="105"/>
      <c r="BS100" s="105"/>
      <c r="BT100" s="105"/>
      <c r="BU100" s="105"/>
      <c r="BV100" s="105"/>
      <c r="BW100" s="105"/>
      <c r="BX100" s="105"/>
      <c r="BY100" s="105"/>
      <c r="BZ100" s="105"/>
      <c r="CA100" s="105"/>
      <c r="CB100" s="105"/>
      <c r="CC100" s="105"/>
      <c r="CD100" s="105"/>
      <c r="CE100" s="105"/>
      <c r="CF100" s="105"/>
      <c r="CG100" s="105"/>
      <c r="CH100" s="105"/>
      <c r="CI100" s="105"/>
      <c r="CJ100" s="105"/>
      <c r="CK100" s="105"/>
      <c r="CL100" s="105"/>
      <c r="CM100" s="105"/>
      <c r="CN100" s="105"/>
      <c r="CO100" s="105"/>
      <c r="CP100" s="105"/>
      <c r="CQ100" s="105"/>
      <c r="CR100" s="105"/>
      <c r="CS100" s="105"/>
      <c r="CT100" s="105"/>
      <c r="CU100" s="105"/>
      <c r="CV100" s="105"/>
      <c r="CW100" s="105"/>
      <c r="CX100" s="105"/>
      <c r="CY100" s="105"/>
      <c r="CZ100" s="104"/>
      <c r="DA100" s="105"/>
      <c r="DB100" s="105"/>
      <c r="DC100" s="105"/>
      <c r="DD100" s="105"/>
      <c r="DE100" s="105"/>
      <c r="DF100" s="105"/>
      <c r="DG100" s="105"/>
      <c r="DH100" s="105"/>
      <c r="DI100" s="105"/>
      <c r="DJ100" s="105"/>
      <c r="DK100" s="104"/>
      <c r="DL100" s="104"/>
    </row>
    <row r="101" ht="12.0" customHeight="1">
      <c r="A101" s="104"/>
      <c r="B101" s="104"/>
      <c r="C101" s="243"/>
      <c r="D101" s="243"/>
      <c r="E101" s="243"/>
      <c r="F101" s="243"/>
      <c r="G101" s="243"/>
      <c r="H101" s="243"/>
      <c r="I101" s="243"/>
      <c r="J101" s="243"/>
      <c r="K101" s="243"/>
      <c r="L101" s="243"/>
      <c r="M101" s="243"/>
      <c r="N101" s="243"/>
      <c r="O101" s="243"/>
      <c r="P101" s="243"/>
      <c r="Q101" s="243"/>
      <c r="R101" s="243"/>
      <c r="S101" s="243"/>
      <c r="T101" s="243"/>
      <c r="U101" s="243"/>
      <c r="V101" s="243"/>
      <c r="W101" s="243"/>
      <c r="X101" s="243"/>
      <c r="Y101" s="243"/>
      <c r="Z101" s="243"/>
      <c r="AA101" s="243"/>
      <c r="AB101" s="243"/>
      <c r="AC101" s="105"/>
      <c r="AD101" s="105"/>
      <c r="AE101" s="105"/>
      <c r="AF101" s="105"/>
      <c r="AG101" s="105"/>
      <c r="AH101" s="105"/>
      <c r="AI101" s="105"/>
      <c r="AJ101" s="105"/>
      <c r="AK101" s="105"/>
      <c r="AL101" s="105"/>
      <c r="AM101" s="105"/>
      <c r="AN101" s="105"/>
      <c r="AO101" s="105"/>
      <c r="AP101" s="105"/>
      <c r="AQ101" s="105"/>
      <c r="AR101" s="105"/>
      <c r="AS101" s="105"/>
      <c r="AT101" s="105"/>
      <c r="AU101" s="105"/>
      <c r="AV101" s="105"/>
      <c r="AW101" s="105"/>
      <c r="AX101" s="105"/>
      <c r="AY101" s="105"/>
      <c r="AZ101" s="105"/>
      <c r="BA101" s="105"/>
      <c r="BB101" s="105"/>
      <c r="BC101" s="105"/>
      <c r="BD101" s="105"/>
      <c r="BE101" s="105"/>
      <c r="BF101" s="105"/>
      <c r="BG101" s="105"/>
      <c r="BH101" s="105"/>
      <c r="BI101" s="105"/>
      <c r="BJ101" s="105"/>
      <c r="BK101" s="105"/>
      <c r="BL101" s="105"/>
      <c r="BM101" s="105"/>
      <c r="BN101" s="105"/>
      <c r="BO101" s="105"/>
      <c r="BP101" s="105"/>
      <c r="BQ101" s="105"/>
      <c r="BR101" s="105"/>
      <c r="BS101" s="105"/>
      <c r="BT101" s="105"/>
      <c r="BU101" s="105"/>
      <c r="BV101" s="105"/>
      <c r="BW101" s="105"/>
      <c r="BX101" s="105"/>
      <c r="BY101" s="105"/>
      <c r="BZ101" s="105"/>
      <c r="CA101" s="105"/>
      <c r="CB101" s="105"/>
      <c r="CC101" s="105"/>
      <c r="CD101" s="105"/>
      <c r="CE101" s="105"/>
      <c r="CF101" s="105"/>
      <c r="CG101" s="105"/>
      <c r="CH101" s="105"/>
      <c r="CI101" s="105"/>
      <c r="CJ101" s="105"/>
      <c r="CK101" s="105"/>
      <c r="CL101" s="105"/>
      <c r="CM101" s="105"/>
      <c r="CN101" s="105"/>
      <c r="CO101" s="105"/>
      <c r="CP101" s="105"/>
      <c r="CQ101" s="105"/>
      <c r="CR101" s="105"/>
      <c r="CS101" s="105"/>
      <c r="CT101" s="105"/>
      <c r="CU101" s="105"/>
      <c r="CV101" s="105"/>
      <c r="CW101" s="105"/>
      <c r="CX101" s="105"/>
      <c r="CY101" s="105"/>
      <c r="CZ101" s="104"/>
      <c r="DA101" s="105"/>
      <c r="DB101" s="105"/>
      <c r="DC101" s="105"/>
      <c r="DD101" s="105"/>
      <c r="DE101" s="105"/>
      <c r="DF101" s="105"/>
      <c r="DG101" s="105"/>
      <c r="DH101" s="105"/>
      <c r="DI101" s="105"/>
      <c r="DJ101" s="105"/>
      <c r="DK101" s="104"/>
      <c r="DL101" s="104"/>
    </row>
    <row r="102" ht="12.0" customHeight="1">
      <c r="A102" s="104"/>
      <c r="B102" s="104"/>
      <c r="C102" s="243"/>
      <c r="D102" s="243"/>
      <c r="E102" s="243"/>
      <c r="F102" s="243"/>
      <c r="G102" s="243"/>
      <c r="H102" s="243"/>
      <c r="I102" s="243"/>
      <c r="J102" s="243"/>
      <c r="K102" s="243"/>
      <c r="L102" s="243"/>
      <c r="M102" s="243"/>
      <c r="N102" s="243"/>
      <c r="O102" s="243"/>
      <c r="P102" s="243"/>
      <c r="Q102" s="243"/>
      <c r="R102" s="243"/>
      <c r="S102" s="243"/>
      <c r="T102" s="243"/>
      <c r="U102" s="243"/>
      <c r="V102" s="243"/>
      <c r="W102" s="243"/>
      <c r="X102" s="243"/>
      <c r="Y102" s="243"/>
      <c r="Z102" s="243"/>
      <c r="AA102" s="243"/>
      <c r="AB102" s="243"/>
      <c r="AC102" s="105"/>
      <c r="AD102" s="105"/>
      <c r="AE102" s="105"/>
      <c r="AF102" s="105"/>
      <c r="AG102" s="105"/>
      <c r="AH102" s="105"/>
      <c r="AI102" s="105"/>
      <c r="AJ102" s="105"/>
      <c r="AK102" s="105"/>
      <c r="AL102" s="105"/>
      <c r="AM102" s="105"/>
      <c r="AN102" s="105"/>
      <c r="AO102" s="105"/>
      <c r="AP102" s="105"/>
      <c r="AQ102" s="105"/>
      <c r="AR102" s="105"/>
      <c r="AS102" s="105"/>
      <c r="AT102" s="105"/>
      <c r="AU102" s="105"/>
      <c r="AV102" s="105"/>
      <c r="AW102" s="105"/>
      <c r="AX102" s="105"/>
      <c r="AY102" s="105"/>
      <c r="AZ102" s="105"/>
      <c r="BA102" s="105"/>
      <c r="BB102" s="105"/>
      <c r="BC102" s="105"/>
      <c r="BD102" s="105"/>
      <c r="BE102" s="105"/>
      <c r="BF102" s="105"/>
      <c r="BG102" s="105"/>
      <c r="BH102" s="105"/>
      <c r="BI102" s="105"/>
      <c r="BJ102" s="105"/>
      <c r="BK102" s="105"/>
      <c r="BL102" s="105"/>
      <c r="BM102" s="105"/>
      <c r="BN102" s="105"/>
      <c r="BO102" s="105"/>
      <c r="BP102" s="105"/>
      <c r="BQ102" s="105"/>
      <c r="BR102" s="105"/>
      <c r="BS102" s="105"/>
      <c r="BT102" s="105"/>
      <c r="BU102" s="105"/>
      <c r="BV102" s="105"/>
      <c r="BW102" s="105"/>
      <c r="BX102" s="105"/>
      <c r="BY102" s="105"/>
      <c r="BZ102" s="105"/>
      <c r="CA102" s="105"/>
      <c r="CB102" s="105"/>
      <c r="CC102" s="105"/>
      <c r="CD102" s="105"/>
      <c r="CE102" s="105"/>
      <c r="CF102" s="105"/>
      <c r="CG102" s="105"/>
      <c r="CH102" s="105"/>
      <c r="CI102" s="105"/>
      <c r="CJ102" s="105"/>
      <c r="CK102" s="105"/>
      <c r="CL102" s="105"/>
      <c r="CM102" s="105"/>
      <c r="CN102" s="105"/>
      <c r="CO102" s="105"/>
      <c r="CP102" s="105"/>
      <c r="CQ102" s="105"/>
      <c r="CR102" s="105"/>
      <c r="CS102" s="105"/>
      <c r="CT102" s="105"/>
      <c r="CU102" s="105"/>
      <c r="CV102" s="105"/>
      <c r="CW102" s="105"/>
      <c r="CX102" s="105"/>
      <c r="CY102" s="105"/>
      <c r="CZ102" s="104"/>
      <c r="DA102" s="105"/>
      <c r="DB102" s="105"/>
      <c r="DC102" s="105"/>
      <c r="DD102" s="105"/>
      <c r="DE102" s="105"/>
      <c r="DF102" s="105"/>
      <c r="DG102" s="105"/>
      <c r="DH102" s="105"/>
      <c r="DI102" s="105"/>
      <c r="DJ102" s="105"/>
      <c r="DK102" s="104"/>
      <c r="DL102" s="104"/>
    </row>
    <row r="103" ht="12.0" customHeight="1">
      <c r="A103" s="104"/>
      <c r="B103" s="104"/>
      <c r="C103" s="243"/>
      <c r="D103" s="243"/>
      <c r="E103" s="243"/>
      <c r="F103" s="243"/>
      <c r="G103" s="243"/>
      <c r="H103" s="243"/>
      <c r="I103" s="243"/>
      <c r="J103" s="243"/>
      <c r="K103" s="243"/>
      <c r="L103" s="243"/>
      <c r="M103" s="243"/>
      <c r="N103" s="243"/>
      <c r="O103" s="243"/>
      <c r="P103" s="243"/>
      <c r="Q103" s="243"/>
      <c r="R103" s="243"/>
      <c r="S103" s="243"/>
      <c r="T103" s="243"/>
      <c r="U103" s="243"/>
      <c r="V103" s="243"/>
      <c r="W103" s="243"/>
      <c r="X103" s="243"/>
      <c r="Y103" s="243"/>
      <c r="Z103" s="243"/>
      <c r="AA103" s="243"/>
      <c r="AB103" s="243"/>
      <c r="AC103" s="105"/>
      <c r="AD103" s="105"/>
      <c r="AE103" s="105"/>
      <c r="AF103" s="105"/>
      <c r="AG103" s="105"/>
      <c r="AH103" s="105"/>
      <c r="AI103" s="105"/>
      <c r="AJ103" s="105"/>
      <c r="AK103" s="105"/>
      <c r="AL103" s="105"/>
      <c r="AM103" s="105"/>
      <c r="AN103" s="105"/>
      <c r="AO103" s="105"/>
      <c r="AP103" s="105"/>
      <c r="AQ103" s="105"/>
      <c r="AR103" s="105"/>
      <c r="AS103" s="105"/>
      <c r="AT103" s="105"/>
      <c r="AU103" s="105"/>
      <c r="AV103" s="105"/>
      <c r="AW103" s="105"/>
      <c r="AX103" s="105"/>
      <c r="AY103" s="105"/>
      <c r="AZ103" s="105"/>
      <c r="BA103" s="105"/>
      <c r="BB103" s="105"/>
      <c r="BC103" s="105"/>
      <c r="BD103" s="105"/>
      <c r="BE103" s="105"/>
      <c r="BF103" s="105"/>
      <c r="BG103" s="105"/>
      <c r="BH103" s="105"/>
      <c r="BI103" s="105"/>
      <c r="BJ103" s="105"/>
      <c r="BK103" s="105"/>
      <c r="BL103" s="105"/>
      <c r="BM103" s="105"/>
      <c r="BN103" s="105"/>
      <c r="BO103" s="105"/>
      <c r="BP103" s="105"/>
      <c r="BQ103" s="105"/>
      <c r="BR103" s="105"/>
      <c r="BS103" s="105"/>
      <c r="BT103" s="105"/>
      <c r="BU103" s="105"/>
      <c r="BV103" s="105"/>
      <c r="BW103" s="105"/>
      <c r="BX103" s="105"/>
      <c r="BY103" s="105"/>
      <c r="BZ103" s="105"/>
      <c r="CA103" s="105"/>
      <c r="CB103" s="105"/>
      <c r="CC103" s="105"/>
      <c r="CD103" s="105"/>
      <c r="CE103" s="105"/>
      <c r="CF103" s="105"/>
      <c r="CG103" s="105"/>
      <c r="CH103" s="105"/>
      <c r="CI103" s="105"/>
      <c r="CJ103" s="105"/>
      <c r="CK103" s="105"/>
      <c r="CL103" s="105"/>
      <c r="CM103" s="105"/>
      <c r="CN103" s="105"/>
      <c r="CO103" s="105"/>
      <c r="CP103" s="105"/>
      <c r="CQ103" s="105"/>
      <c r="CR103" s="105"/>
      <c r="CS103" s="105"/>
      <c r="CT103" s="105"/>
      <c r="CU103" s="105"/>
      <c r="CV103" s="105"/>
      <c r="CW103" s="105"/>
      <c r="CX103" s="105"/>
      <c r="CY103" s="105"/>
      <c r="CZ103" s="104"/>
      <c r="DA103" s="105"/>
      <c r="DB103" s="105"/>
      <c r="DC103" s="105"/>
      <c r="DD103" s="105"/>
      <c r="DE103" s="105"/>
      <c r="DF103" s="105"/>
      <c r="DG103" s="105"/>
      <c r="DH103" s="105"/>
      <c r="DI103" s="105"/>
      <c r="DJ103" s="105"/>
      <c r="DK103" s="104"/>
      <c r="DL103" s="104"/>
    </row>
    <row r="104" ht="12.0" customHeight="1">
      <c r="A104" s="104"/>
      <c r="B104" s="104"/>
      <c r="C104" s="243"/>
      <c r="D104" s="243"/>
      <c r="E104" s="243"/>
      <c r="F104" s="243"/>
      <c r="G104" s="243"/>
      <c r="H104" s="243"/>
      <c r="I104" s="243"/>
      <c r="J104" s="243"/>
      <c r="K104" s="243"/>
      <c r="L104" s="243"/>
      <c r="M104" s="243"/>
      <c r="N104" s="243"/>
      <c r="O104" s="243"/>
      <c r="P104" s="243"/>
      <c r="Q104" s="243"/>
      <c r="R104" s="243"/>
      <c r="S104" s="243"/>
      <c r="T104" s="243"/>
      <c r="U104" s="243"/>
      <c r="V104" s="243"/>
      <c r="W104" s="243"/>
      <c r="X104" s="243"/>
      <c r="Y104" s="243"/>
      <c r="Z104" s="243"/>
      <c r="AA104" s="243"/>
      <c r="AB104" s="243"/>
      <c r="AC104" s="105"/>
      <c r="AD104" s="105"/>
      <c r="AE104" s="105"/>
      <c r="AF104" s="105"/>
      <c r="AG104" s="105"/>
      <c r="AH104" s="105"/>
      <c r="AI104" s="105"/>
      <c r="AJ104" s="105"/>
      <c r="AK104" s="105"/>
      <c r="AL104" s="105"/>
      <c r="AM104" s="105"/>
      <c r="AN104" s="105"/>
      <c r="AO104" s="105"/>
      <c r="AP104" s="105"/>
      <c r="AQ104" s="105"/>
      <c r="AR104" s="105"/>
      <c r="AS104" s="105"/>
      <c r="AT104" s="105"/>
      <c r="AU104" s="105"/>
      <c r="AV104" s="105"/>
      <c r="AW104" s="105"/>
      <c r="AX104" s="105"/>
      <c r="AY104" s="105"/>
      <c r="AZ104" s="105"/>
      <c r="BA104" s="105"/>
      <c r="BB104" s="105"/>
      <c r="BC104" s="105"/>
      <c r="BD104" s="105"/>
      <c r="BE104" s="105"/>
      <c r="BF104" s="105"/>
      <c r="BG104" s="105"/>
      <c r="BH104" s="105"/>
      <c r="BI104" s="105"/>
      <c r="BJ104" s="105"/>
      <c r="BK104" s="105"/>
      <c r="BL104" s="105"/>
      <c r="BM104" s="105"/>
      <c r="BN104" s="105"/>
      <c r="BO104" s="105"/>
      <c r="BP104" s="105"/>
      <c r="BQ104" s="105"/>
      <c r="BR104" s="105"/>
      <c r="BS104" s="105"/>
      <c r="BT104" s="105"/>
      <c r="BU104" s="105"/>
      <c r="BV104" s="105"/>
      <c r="BW104" s="105"/>
      <c r="BX104" s="105"/>
      <c r="BY104" s="105"/>
      <c r="BZ104" s="105"/>
      <c r="CA104" s="105"/>
      <c r="CB104" s="105"/>
      <c r="CC104" s="105"/>
      <c r="CD104" s="105"/>
      <c r="CE104" s="105"/>
      <c r="CF104" s="105"/>
      <c r="CG104" s="105"/>
      <c r="CH104" s="105"/>
      <c r="CI104" s="105"/>
      <c r="CJ104" s="105"/>
      <c r="CK104" s="105"/>
      <c r="CL104" s="105"/>
      <c r="CM104" s="105"/>
      <c r="CN104" s="105"/>
      <c r="CO104" s="105"/>
      <c r="CP104" s="105"/>
      <c r="CQ104" s="105"/>
      <c r="CR104" s="105"/>
      <c r="CS104" s="105"/>
      <c r="CT104" s="105"/>
      <c r="CU104" s="105"/>
      <c r="CV104" s="105"/>
      <c r="CW104" s="105"/>
      <c r="CX104" s="105"/>
      <c r="CY104" s="105"/>
      <c r="CZ104" s="104"/>
      <c r="DA104" s="105"/>
      <c r="DB104" s="105"/>
      <c r="DC104" s="105"/>
      <c r="DD104" s="105"/>
      <c r="DE104" s="105"/>
      <c r="DF104" s="105"/>
      <c r="DG104" s="105"/>
      <c r="DH104" s="105"/>
      <c r="DI104" s="105"/>
      <c r="DJ104" s="105"/>
      <c r="DK104" s="104"/>
      <c r="DL104" s="104"/>
    </row>
    <row r="105" ht="12.0" customHeight="1">
      <c r="A105" s="104"/>
      <c r="B105" s="104"/>
      <c r="C105" s="243"/>
      <c r="D105" s="243"/>
      <c r="E105" s="243"/>
      <c r="F105" s="243"/>
      <c r="G105" s="243"/>
      <c r="H105" s="243"/>
      <c r="I105" s="243"/>
      <c r="J105" s="243"/>
      <c r="K105" s="243"/>
      <c r="L105" s="243"/>
      <c r="M105" s="243"/>
      <c r="N105" s="243"/>
      <c r="O105" s="243"/>
      <c r="P105" s="243"/>
      <c r="Q105" s="243"/>
      <c r="R105" s="243"/>
      <c r="S105" s="243"/>
      <c r="T105" s="243"/>
      <c r="U105" s="243"/>
      <c r="V105" s="243"/>
      <c r="W105" s="243"/>
      <c r="X105" s="243"/>
      <c r="Y105" s="243"/>
      <c r="Z105" s="243"/>
      <c r="AA105" s="243"/>
      <c r="AB105" s="243"/>
      <c r="AC105" s="105"/>
      <c r="AD105" s="105"/>
      <c r="AE105" s="105"/>
      <c r="AF105" s="105"/>
      <c r="AG105" s="105"/>
      <c r="AH105" s="105"/>
      <c r="AI105" s="105"/>
      <c r="AJ105" s="105"/>
      <c r="AK105" s="105"/>
      <c r="AL105" s="105"/>
      <c r="AM105" s="105"/>
      <c r="AN105" s="105"/>
      <c r="AO105" s="105"/>
      <c r="AP105" s="105"/>
      <c r="AQ105" s="105"/>
      <c r="AR105" s="105"/>
      <c r="AS105" s="105"/>
      <c r="AT105" s="105"/>
      <c r="AU105" s="105"/>
      <c r="AV105" s="105"/>
      <c r="AW105" s="105"/>
      <c r="AX105" s="105"/>
      <c r="AY105" s="105"/>
      <c r="AZ105" s="105"/>
      <c r="BA105" s="105"/>
      <c r="BB105" s="105"/>
      <c r="BC105" s="105"/>
      <c r="BD105" s="105"/>
      <c r="BE105" s="105"/>
      <c r="BF105" s="105"/>
      <c r="BG105" s="105"/>
      <c r="BH105" s="105"/>
      <c r="BI105" s="105"/>
      <c r="BJ105" s="105"/>
      <c r="BK105" s="105"/>
      <c r="BL105" s="105"/>
      <c r="BM105" s="105"/>
      <c r="BN105" s="105"/>
      <c r="BO105" s="105"/>
      <c r="BP105" s="105"/>
      <c r="BQ105" s="105"/>
      <c r="BR105" s="105"/>
      <c r="BS105" s="105"/>
      <c r="BT105" s="105"/>
      <c r="BU105" s="105"/>
      <c r="BV105" s="105"/>
      <c r="BW105" s="105"/>
      <c r="BX105" s="105"/>
      <c r="BY105" s="105"/>
      <c r="BZ105" s="105"/>
      <c r="CA105" s="105"/>
      <c r="CB105" s="105"/>
      <c r="CC105" s="105"/>
      <c r="CD105" s="105"/>
      <c r="CE105" s="105"/>
      <c r="CF105" s="105"/>
      <c r="CG105" s="105"/>
      <c r="CH105" s="105"/>
      <c r="CI105" s="105"/>
      <c r="CJ105" s="105"/>
      <c r="CK105" s="105"/>
      <c r="CL105" s="105"/>
      <c r="CM105" s="105"/>
      <c r="CN105" s="105"/>
      <c r="CO105" s="105"/>
      <c r="CP105" s="105"/>
      <c r="CQ105" s="105"/>
      <c r="CR105" s="105"/>
      <c r="CS105" s="105"/>
      <c r="CT105" s="105"/>
      <c r="CU105" s="105"/>
      <c r="CV105" s="105"/>
      <c r="CW105" s="105"/>
      <c r="CX105" s="105"/>
      <c r="CY105" s="105"/>
      <c r="CZ105" s="104"/>
      <c r="DA105" s="105"/>
      <c r="DB105" s="105"/>
      <c r="DC105" s="105"/>
      <c r="DD105" s="105"/>
      <c r="DE105" s="105"/>
      <c r="DF105" s="105"/>
      <c r="DG105" s="105"/>
      <c r="DH105" s="105"/>
      <c r="DI105" s="105"/>
      <c r="DJ105" s="105"/>
      <c r="DK105" s="104"/>
      <c r="DL105" s="104"/>
    </row>
    <row r="106" ht="12.0" customHeight="1">
      <c r="A106" s="104"/>
      <c r="B106" s="104"/>
      <c r="C106" s="243"/>
      <c r="D106" s="243"/>
      <c r="E106" s="243"/>
      <c r="F106" s="243"/>
      <c r="G106" s="243"/>
      <c r="H106" s="243"/>
      <c r="I106" s="243"/>
      <c r="J106" s="243"/>
      <c r="K106" s="243"/>
      <c r="L106" s="243"/>
      <c r="M106" s="243"/>
      <c r="N106" s="243"/>
      <c r="O106" s="243"/>
      <c r="P106" s="243"/>
      <c r="Q106" s="243"/>
      <c r="R106" s="243"/>
      <c r="S106" s="243"/>
      <c r="T106" s="243"/>
      <c r="U106" s="243"/>
      <c r="V106" s="243"/>
      <c r="W106" s="243"/>
      <c r="X106" s="243"/>
      <c r="Y106" s="243"/>
      <c r="Z106" s="243"/>
      <c r="AA106" s="243"/>
      <c r="AB106" s="243"/>
      <c r="AC106" s="105"/>
      <c r="AD106" s="105"/>
      <c r="AE106" s="105"/>
      <c r="AF106" s="105"/>
      <c r="AG106" s="105"/>
      <c r="AH106" s="105"/>
      <c r="AI106" s="105"/>
      <c r="AJ106" s="105"/>
      <c r="AK106" s="105"/>
      <c r="AL106" s="105"/>
      <c r="AM106" s="105"/>
      <c r="AN106" s="105"/>
      <c r="AO106" s="105"/>
      <c r="AP106" s="105"/>
      <c r="AQ106" s="105"/>
      <c r="AR106" s="105"/>
      <c r="AS106" s="105"/>
      <c r="AT106" s="105"/>
      <c r="AU106" s="105"/>
      <c r="AV106" s="105"/>
      <c r="AW106" s="105"/>
      <c r="AX106" s="105"/>
      <c r="AY106" s="105"/>
      <c r="AZ106" s="105"/>
      <c r="BA106" s="105"/>
      <c r="BB106" s="105"/>
      <c r="BC106" s="105"/>
      <c r="BD106" s="105"/>
      <c r="BE106" s="105"/>
      <c r="BF106" s="105"/>
      <c r="BG106" s="105"/>
      <c r="BH106" s="105"/>
      <c r="BI106" s="105"/>
      <c r="BJ106" s="105"/>
      <c r="BK106" s="105"/>
      <c r="BL106" s="105"/>
      <c r="BM106" s="105"/>
      <c r="BN106" s="105"/>
      <c r="BO106" s="105"/>
      <c r="BP106" s="105"/>
      <c r="BQ106" s="105"/>
      <c r="BR106" s="105"/>
      <c r="BS106" s="105"/>
      <c r="BT106" s="105"/>
      <c r="BU106" s="105"/>
      <c r="BV106" s="105"/>
      <c r="BW106" s="105"/>
      <c r="BX106" s="105"/>
      <c r="BY106" s="105"/>
      <c r="BZ106" s="105"/>
      <c r="CA106" s="105"/>
      <c r="CB106" s="105"/>
      <c r="CC106" s="105"/>
      <c r="CD106" s="105"/>
      <c r="CE106" s="105"/>
      <c r="CF106" s="105"/>
      <c r="CG106" s="105"/>
      <c r="CH106" s="105"/>
      <c r="CI106" s="105"/>
      <c r="CJ106" s="105"/>
      <c r="CK106" s="105"/>
      <c r="CL106" s="105"/>
      <c r="CM106" s="105"/>
      <c r="CN106" s="105"/>
      <c r="CO106" s="105"/>
      <c r="CP106" s="105"/>
      <c r="CQ106" s="105"/>
      <c r="CR106" s="105"/>
      <c r="CS106" s="105"/>
      <c r="CT106" s="105"/>
      <c r="CU106" s="105"/>
      <c r="CV106" s="105"/>
      <c r="CW106" s="105"/>
      <c r="CX106" s="105"/>
      <c r="CY106" s="105"/>
      <c r="CZ106" s="104"/>
      <c r="DA106" s="105"/>
      <c r="DB106" s="105"/>
      <c r="DC106" s="105"/>
      <c r="DD106" s="105"/>
      <c r="DE106" s="105"/>
      <c r="DF106" s="105"/>
      <c r="DG106" s="105"/>
      <c r="DH106" s="105"/>
      <c r="DI106" s="105"/>
      <c r="DJ106" s="105"/>
      <c r="DK106" s="104"/>
      <c r="DL106" s="104"/>
    </row>
    <row r="107" ht="12.0" customHeight="1">
      <c r="A107" s="104"/>
      <c r="B107" s="104"/>
      <c r="C107" s="243"/>
      <c r="D107" s="243"/>
      <c r="E107" s="243"/>
      <c r="F107" s="243"/>
      <c r="G107" s="243"/>
      <c r="H107" s="243"/>
      <c r="I107" s="243"/>
      <c r="J107" s="243"/>
      <c r="K107" s="243"/>
      <c r="L107" s="243"/>
      <c r="M107" s="243"/>
      <c r="N107" s="243"/>
      <c r="O107" s="243"/>
      <c r="P107" s="243"/>
      <c r="Q107" s="243"/>
      <c r="R107" s="243"/>
      <c r="S107" s="243"/>
      <c r="T107" s="243"/>
      <c r="U107" s="243"/>
      <c r="V107" s="243"/>
      <c r="W107" s="243"/>
      <c r="X107" s="243"/>
      <c r="Y107" s="243"/>
      <c r="Z107" s="243"/>
      <c r="AA107" s="243"/>
      <c r="AB107" s="243"/>
      <c r="AC107" s="105"/>
      <c r="AD107" s="105"/>
      <c r="AE107" s="105"/>
      <c r="AF107" s="105"/>
      <c r="AG107" s="105"/>
      <c r="AH107" s="105"/>
      <c r="AI107" s="105"/>
      <c r="AJ107" s="105"/>
      <c r="AK107" s="105"/>
      <c r="AL107" s="105"/>
      <c r="AM107" s="105"/>
      <c r="AN107" s="105"/>
      <c r="AO107" s="105"/>
      <c r="AP107" s="105"/>
      <c r="AQ107" s="105"/>
      <c r="AR107" s="105"/>
      <c r="AS107" s="105"/>
      <c r="AT107" s="105"/>
      <c r="AU107" s="105"/>
      <c r="AV107" s="105"/>
      <c r="AW107" s="105"/>
      <c r="AX107" s="105"/>
      <c r="AY107" s="105"/>
      <c r="AZ107" s="105"/>
      <c r="BA107" s="105"/>
      <c r="BB107" s="105"/>
      <c r="BC107" s="105"/>
      <c r="BD107" s="105"/>
      <c r="BE107" s="105"/>
      <c r="BF107" s="105"/>
      <c r="BG107" s="105"/>
      <c r="BH107" s="105"/>
      <c r="BI107" s="105"/>
      <c r="BJ107" s="105"/>
      <c r="BK107" s="105"/>
      <c r="BL107" s="105"/>
      <c r="BM107" s="105"/>
      <c r="BN107" s="105"/>
      <c r="BO107" s="105"/>
      <c r="BP107" s="105"/>
      <c r="BQ107" s="105"/>
      <c r="BR107" s="105"/>
      <c r="BS107" s="105"/>
      <c r="BT107" s="105"/>
      <c r="BU107" s="105"/>
      <c r="BV107" s="105"/>
      <c r="BW107" s="105"/>
      <c r="BX107" s="105"/>
      <c r="BY107" s="105"/>
      <c r="BZ107" s="105"/>
      <c r="CA107" s="105"/>
      <c r="CB107" s="105"/>
      <c r="CC107" s="105"/>
      <c r="CD107" s="105"/>
      <c r="CE107" s="105"/>
      <c r="CF107" s="105"/>
      <c r="CG107" s="105"/>
      <c r="CH107" s="105"/>
      <c r="CI107" s="105"/>
      <c r="CJ107" s="105"/>
      <c r="CK107" s="105"/>
      <c r="CL107" s="105"/>
      <c r="CM107" s="105"/>
      <c r="CN107" s="105"/>
      <c r="CO107" s="105"/>
      <c r="CP107" s="105"/>
      <c r="CQ107" s="105"/>
      <c r="CR107" s="105"/>
      <c r="CS107" s="105"/>
      <c r="CT107" s="105"/>
      <c r="CU107" s="105"/>
      <c r="CV107" s="105"/>
      <c r="CW107" s="105"/>
      <c r="CX107" s="105"/>
      <c r="CY107" s="105"/>
      <c r="CZ107" s="104"/>
      <c r="DA107" s="105"/>
      <c r="DB107" s="105"/>
      <c r="DC107" s="105"/>
      <c r="DD107" s="105"/>
      <c r="DE107" s="105"/>
      <c r="DF107" s="105"/>
      <c r="DG107" s="105"/>
      <c r="DH107" s="105"/>
      <c r="DI107" s="105"/>
      <c r="DJ107" s="105"/>
      <c r="DK107" s="104"/>
      <c r="DL107" s="104"/>
    </row>
    <row r="108" ht="12.0" customHeight="1">
      <c r="A108" s="104"/>
      <c r="B108" s="104"/>
      <c r="C108" s="243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243"/>
      <c r="S108" s="243"/>
      <c r="T108" s="243"/>
      <c r="U108" s="243"/>
      <c r="V108" s="243"/>
      <c r="W108" s="243"/>
      <c r="X108" s="243"/>
      <c r="Y108" s="243"/>
      <c r="Z108" s="243"/>
      <c r="AA108" s="243"/>
      <c r="AB108" s="243"/>
      <c r="AC108" s="105"/>
      <c r="AD108" s="105"/>
      <c r="AE108" s="105"/>
      <c r="AF108" s="105"/>
      <c r="AG108" s="105"/>
      <c r="AH108" s="105"/>
      <c r="AI108" s="105"/>
      <c r="AJ108" s="105"/>
      <c r="AK108" s="105"/>
      <c r="AL108" s="105"/>
      <c r="AM108" s="105"/>
      <c r="AN108" s="105"/>
      <c r="AO108" s="105"/>
      <c r="AP108" s="105"/>
      <c r="AQ108" s="105"/>
      <c r="AR108" s="105"/>
      <c r="AS108" s="105"/>
      <c r="AT108" s="105"/>
      <c r="AU108" s="105"/>
      <c r="AV108" s="105"/>
      <c r="AW108" s="105"/>
      <c r="AX108" s="105"/>
      <c r="AY108" s="105"/>
      <c r="AZ108" s="105"/>
      <c r="BA108" s="105"/>
      <c r="BB108" s="105"/>
      <c r="BC108" s="105"/>
      <c r="BD108" s="105"/>
      <c r="BE108" s="105"/>
      <c r="BF108" s="105"/>
      <c r="BG108" s="105"/>
      <c r="BH108" s="105"/>
      <c r="BI108" s="105"/>
      <c r="BJ108" s="105"/>
      <c r="BK108" s="105"/>
      <c r="BL108" s="105"/>
      <c r="BM108" s="105"/>
      <c r="BN108" s="105"/>
      <c r="BO108" s="105"/>
      <c r="BP108" s="105"/>
      <c r="BQ108" s="105"/>
      <c r="BR108" s="105"/>
      <c r="BS108" s="105"/>
      <c r="BT108" s="105"/>
      <c r="BU108" s="105"/>
      <c r="BV108" s="105"/>
      <c r="BW108" s="105"/>
      <c r="BX108" s="105"/>
      <c r="BY108" s="105"/>
      <c r="BZ108" s="105"/>
      <c r="CA108" s="105"/>
      <c r="CB108" s="105"/>
      <c r="CC108" s="105"/>
      <c r="CD108" s="105"/>
      <c r="CE108" s="105"/>
      <c r="CF108" s="105"/>
      <c r="CG108" s="105"/>
      <c r="CH108" s="105"/>
      <c r="CI108" s="105"/>
      <c r="CJ108" s="105"/>
      <c r="CK108" s="105"/>
      <c r="CL108" s="105"/>
      <c r="CM108" s="105"/>
      <c r="CN108" s="105"/>
      <c r="CO108" s="105"/>
      <c r="CP108" s="105"/>
      <c r="CQ108" s="105"/>
      <c r="CR108" s="105"/>
      <c r="CS108" s="105"/>
      <c r="CT108" s="105"/>
      <c r="CU108" s="105"/>
      <c r="CV108" s="105"/>
      <c r="CW108" s="105"/>
      <c r="CX108" s="105"/>
      <c r="CY108" s="105"/>
      <c r="CZ108" s="104"/>
      <c r="DA108" s="105"/>
      <c r="DB108" s="105"/>
      <c r="DC108" s="105"/>
      <c r="DD108" s="105"/>
      <c r="DE108" s="105"/>
      <c r="DF108" s="105"/>
      <c r="DG108" s="105"/>
      <c r="DH108" s="105"/>
      <c r="DI108" s="105"/>
      <c r="DJ108" s="105"/>
      <c r="DK108" s="104"/>
      <c r="DL108" s="104"/>
    </row>
    <row r="109" ht="12.0" customHeight="1">
      <c r="A109" s="104"/>
      <c r="B109" s="104"/>
      <c r="C109" s="243"/>
      <c r="D109" s="243"/>
      <c r="E109" s="243"/>
      <c r="F109" s="243"/>
      <c r="G109" s="243"/>
      <c r="H109" s="243"/>
      <c r="I109" s="243"/>
      <c r="J109" s="243"/>
      <c r="K109" s="243"/>
      <c r="L109" s="243"/>
      <c r="M109" s="243"/>
      <c r="N109" s="243"/>
      <c r="O109" s="243"/>
      <c r="P109" s="243"/>
      <c r="Q109" s="243"/>
      <c r="R109" s="243"/>
      <c r="S109" s="243"/>
      <c r="T109" s="243"/>
      <c r="U109" s="243"/>
      <c r="V109" s="243"/>
      <c r="W109" s="243"/>
      <c r="X109" s="243"/>
      <c r="Y109" s="243"/>
      <c r="Z109" s="243"/>
      <c r="AA109" s="243"/>
      <c r="AB109" s="243"/>
      <c r="AC109" s="105"/>
      <c r="AD109" s="105"/>
      <c r="AE109" s="105"/>
      <c r="AF109" s="105"/>
      <c r="AG109" s="105"/>
      <c r="AH109" s="105"/>
      <c r="AI109" s="105"/>
      <c r="AJ109" s="105"/>
      <c r="AK109" s="105"/>
      <c r="AL109" s="105"/>
      <c r="AM109" s="105"/>
      <c r="AN109" s="105"/>
      <c r="AO109" s="105"/>
      <c r="AP109" s="105"/>
      <c r="AQ109" s="105"/>
      <c r="AR109" s="105"/>
      <c r="AS109" s="105"/>
      <c r="AT109" s="105"/>
      <c r="AU109" s="105"/>
      <c r="AV109" s="105"/>
      <c r="AW109" s="105"/>
      <c r="AX109" s="105"/>
      <c r="AY109" s="105"/>
      <c r="AZ109" s="105"/>
      <c r="BA109" s="105"/>
      <c r="BB109" s="105"/>
      <c r="BC109" s="105"/>
      <c r="BD109" s="105"/>
      <c r="BE109" s="105"/>
      <c r="BF109" s="105"/>
      <c r="BG109" s="105"/>
      <c r="BH109" s="105"/>
      <c r="BI109" s="105"/>
      <c r="BJ109" s="105"/>
      <c r="BK109" s="105"/>
      <c r="BL109" s="105"/>
      <c r="BM109" s="105"/>
      <c r="BN109" s="105"/>
      <c r="BO109" s="105"/>
      <c r="BP109" s="105"/>
      <c r="BQ109" s="105"/>
      <c r="BR109" s="105"/>
      <c r="BS109" s="105"/>
      <c r="BT109" s="105"/>
      <c r="BU109" s="105"/>
      <c r="BV109" s="105"/>
      <c r="BW109" s="105"/>
      <c r="BX109" s="105"/>
      <c r="BY109" s="105"/>
      <c r="BZ109" s="105"/>
      <c r="CA109" s="105"/>
      <c r="CB109" s="105"/>
      <c r="CC109" s="105"/>
      <c r="CD109" s="105"/>
      <c r="CE109" s="105"/>
      <c r="CF109" s="105"/>
      <c r="CG109" s="105"/>
      <c r="CH109" s="105"/>
      <c r="CI109" s="105"/>
      <c r="CJ109" s="105"/>
      <c r="CK109" s="105"/>
      <c r="CL109" s="105"/>
      <c r="CM109" s="105"/>
      <c r="CN109" s="105"/>
      <c r="CO109" s="105"/>
      <c r="CP109" s="105"/>
      <c r="CQ109" s="105"/>
      <c r="CR109" s="105"/>
      <c r="CS109" s="105"/>
      <c r="CT109" s="105"/>
      <c r="CU109" s="105"/>
      <c r="CV109" s="105"/>
      <c r="CW109" s="105"/>
      <c r="CX109" s="105"/>
      <c r="CY109" s="105"/>
      <c r="CZ109" s="104"/>
      <c r="DA109" s="105"/>
      <c r="DB109" s="105"/>
      <c r="DC109" s="105"/>
      <c r="DD109" s="105"/>
      <c r="DE109" s="105"/>
      <c r="DF109" s="105"/>
      <c r="DG109" s="105"/>
      <c r="DH109" s="105"/>
      <c r="DI109" s="105"/>
      <c r="DJ109" s="105"/>
      <c r="DK109" s="104"/>
      <c r="DL109" s="104"/>
    </row>
    <row r="110" ht="12.0" customHeight="1">
      <c r="A110" s="104"/>
      <c r="B110" s="104"/>
      <c r="C110" s="243"/>
      <c r="D110" s="243"/>
      <c r="E110" s="243"/>
      <c r="F110" s="243"/>
      <c r="G110" s="243"/>
      <c r="H110" s="243"/>
      <c r="I110" s="243"/>
      <c r="J110" s="243"/>
      <c r="K110" s="243"/>
      <c r="L110" s="243"/>
      <c r="M110" s="243"/>
      <c r="N110" s="243"/>
      <c r="O110" s="243"/>
      <c r="P110" s="243"/>
      <c r="Q110" s="243"/>
      <c r="R110" s="243"/>
      <c r="S110" s="243"/>
      <c r="T110" s="243"/>
      <c r="U110" s="243"/>
      <c r="V110" s="243"/>
      <c r="W110" s="243"/>
      <c r="X110" s="243"/>
      <c r="Y110" s="243"/>
      <c r="Z110" s="243"/>
      <c r="AA110" s="243"/>
      <c r="AB110" s="243"/>
      <c r="AC110" s="105"/>
      <c r="AD110" s="105"/>
      <c r="AE110" s="105"/>
      <c r="AF110" s="105"/>
      <c r="AG110" s="105"/>
      <c r="AH110" s="105"/>
      <c r="AI110" s="105"/>
      <c r="AJ110" s="105"/>
      <c r="AK110" s="105"/>
      <c r="AL110" s="105"/>
      <c r="AM110" s="105"/>
      <c r="AN110" s="105"/>
      <c r="AO110" s="105"/>
      <c r="AP110" s="105"/>
      <c r="AQ110" s="105"/>
      <c r="AR110" s="105"/>
      <c r="AS110" s="105"/>
      <c r="AT110" s="105"/>
      <c r="AU110" s="105"/>
      <c r="AV110" s="105"/>
      <c r="AW110" s="105"/>
      <c r="AX110" s="105"/>
      <c r="AY110" s="105"/>
      <c r="AZ110" s="105"/>
      <c r="BA110" s="105"/>
      <c r="BB110" s="105"/>
      <c r="BC110" s="105"/>
      <c r="BD110" s="105"/>
      <c r="BE110" s="105"/>
      <c r="BF110" s="105"/>
      <c r="BG110" s="105"/>
      <c r="BH110" s="105"/>
      <c r="BI110" s="105"/>
      <c r="BJ110" s="105"/>
      <c r="BK110" s="105"/>
      <c r="BL110" s="105"/>
      <c r="BM110" s="105"/>
      <c r="BN110" s="105"/>
      <c r="BO110" s="105"/>
      <c r="BP110" s="105"/>
      <c r="BQ110" s="105"/>
      <c r="BR110" s="105"/>
      <c r="BS110" s="105"/>
      <c r="BT110" s="105"/>
      <c r="BU110" s="105"/>
      <c r="BV110" s="105"/>
      <c r="BW110" s="105"/>
      <c r="BX110" s="105"/>
      <c r="BY110" s="105"/>
      <c r="BZ110" s="105"/>
      <c r="CA110" s="105"/>
      <c r="CB110" s="105"/>
      <c r="CC110" s="105"/>
      <c r="CD110" s="105"/>
      <c r="CE110" s="105"/>
      <c r="CF110" s="105"/>
      <c r="CG110" s="105"/>
      <c r="CH110" s="105"/>
      <c r="CI110" s="105"/>
      <c r="CJ110" s="105"/>
      <c r="CK110" s="105"/>
      <c r="CL110" s="105"/>
      <c r="CM110" s="105"/>
      <c r="CN110" s="105"/>
      <c r="CO110" s="105"/>
      <c r="CP110" s="105"/>
      <c r="CQ110" s="105"/>
      <c r="CR110" s="105"/>
      <c r="CS110" s="105"/>
      <c r="CT110" s="105"/>
      <c r="CU110" s="105"/>
      <c r="CV110" s="105"/>
      <c r="CW110" s="105"/>
      <c r="CX110" s="105"/>
      <c r="CY110" s="105"/>
      <c r="CZ110" s="104"/>
      <c r="DA110" s="105"/>
      <c r="DB110" s="105"/>
      <c r="DC110" s="105"/>
      <c r="DD110" s="105"/>
      <c r="DE110" s="105"/>
      <c r="DF110" s="105"/>
      <c r="DG110" s="105"/>
      <c r="DH110" s="105"/>
      <c r="DI110" s="105"/>
      <c r="DJ110" s="105"/>
      <c r="DK110" s="104"/>
      <c r="DL110" s="104"/>
    </row>
    <row r="111" ht="12.0" customHeight="1">
      <c r="A111" s="104"/>
      <c r="B111" s="104"/>
      <c r="C111" s="243"/>
      <c r="D111" s="243"/>
      <c r="E111" s="243"/>
      <c r="F111" s="243"/>
      <c r="G111" s="243"/>
      <c r="H111" s="243"/>
      <c r="I111" s="243"/>
      <c r="J111" s="243"/>
      <c r="K111" s="243"/>
      <c r="L111" s="243"/>
      <c r="M111" s="243"/>
      <c r="N111" s="243"/>
      <c r="O111" s="243"/>
      <c r="P111" s="243"/>
      <c r="Q111" s="243"/>
      <c r="R111" s="243"/>
      <c r="S111" s="243"/>
      <c r="T111" s="243"/>
      <c r="U111" s="243"/>
      <c r="V111" s="243"/>
      <c r="W111" s="243"/>
      <c r="X111" s="243"/>
      <c r="Y111" s="243"/>
      <c r="Z111" s="243"/>
      <c r="AA111" s="243"/>
      <c r="AB111" s="243"/>
      <c r="AC111" s="105"/>
      <c r="AD111" s="105"/>
      <c r="AE111" s="105"/>
      <c r="AF111" s="105"/>
      <c r="AG111" s="105"/>
      <c r="AH111" s="105"/>
      <c r="AI111" s="105"/>
      <c r="AJ111" s="105"/>
      <c r="AK111" s="105"/>
      <c r="AL111" s="105"/>
      <c r="AM111" s="105"/>
      <c r="AN111" s="105"/>
      <c r="AO111" s="105"/>
      <c r="AP111" s="105"/>
      <c r="AQ111" s="105"/>
      <c r="AR111" s="105"/>
      <c r="AS111" s="105"/>
      <c r="AT111" s="105"/>
      <c r="AU111" s="105"/>
      <c r="AV111" s="105"/>
      <c r="AW111" s="105"/>
      <c r="AX111" s="105"/>
      <c r="AY111" s="105"/>
      <c r="AZ111" s="105"/>
      <c r="BA111" s="105"/>
      <c r="BB111" s="105"/>
      <c r="BC111" s="105"/>
      <c r="BD111" s="105"/>
      <c r="BE111" s="105"/>
      <c r="BF111" s="105"/>
      <c r="BG111" s="105"/>
      <c r="BH111" s="105"/>
      <c r="BI111" s="105"/>
      <c r="BJ111" s="105"/>
      <c r="BK111" s="105"/>
      <c r="BL111" s="105"/>
      <c r="BM111" s="105"/>
      <c r="BN111" s="105"/>
      <c r="BO111" s="105"/>
      <c r="BP111" s="105"/>
      <c r="BQ111" s="105"/>
      <c r="BR111" s="105"/>
      <c r="BS111" s="105"/>
      <c r="BT111" s="105"/>
      <c r="BU111" s="105"/>
      <c r="BV111" s="105"/>
      <c r="BW111" s="105"/>
      <c r="BX111" s="105"/>
      <c r="BY111" s="105"/>
      <c r="BZ111" s="105"/>
      <c r="CA111" s="105"/>
      <c r="CB111" s="105"/>
      <c r="CC111" s="105"/>
      <c r="CD111" s="105"/>
      <c r="CE111" s="105"/>
      <c r="CF111" s="105"/>
      <c r="CG111" s="105"/>
      <c r="CH111" s="105"/>
      <c r="CI111" s="105"/>
      <c r="CJ111" s="105"/>
      <c r="CK111" s="105"/>
      <c r="CL111" s="105"/>
      <c r="CM111" s="105"/>
      <c r="CN111" s="105"/>
      <c r="CO111" s="105"/>
      <c r="CP111" s="105"/>
      <c r="CQ111" s="105"/>
      <c r="CR111" s="105"/>
      <c r="CS111" s="105"/>
      <c r="CT111" s="105"/>
      <c r="CU111" s="105"/>
      <c r="CV111" s="105"/>
      <c r="CW111" s="105"/>
      <c r="CX111" s="105"/>
      <c r="CY111" s="105"/>
      <c r="CZ111" s="104"/>
      <c r="DA111" s="105"/>
      <c r="DB111" s="105"/>
      <c r="DC111" s="105"/>
      <c r="DD111" s="105"/>
      <c r="DE111" s="105"/>
      <c r="DF111" s="105"/>
      <c r="DG111" s="105"/>
      <c r="DH111" s="105"/>
      <c r="DI111" s="105"/>
      <c r="DJ111" s="105"/>
      <c r="DK111" s="104"/>
      <c r="DL111" s="104"/>
    </row>
    <row r="112" ht="12.0" customHeight="1">
      <c r="A112" s="104"/>
      <c r="B112" s="104"/>
      <c r="C112" s="243"/>
      <c r="D112" s="243"/>
      <c r="E112" s="243"/>
      <c r="F112" s="243"/>
      <c r="G112" s="243"/>
      <c r="H112" s="243"/>
      <c r="I112" s="243"/>
      <c r="J112" s="243"/>
      <c r="K112" s="243"/>
      <c r="L112" s="243"/>
      <c r="M112" s="243"/>
      <c r="N112" s="243"/>
      <c r="O112" s="243"/>
      <c r="P112" s="243"/>
      <c r="Q112" s="243"/>
      <c r="R112" s="243"/>
      <c r="S112" s="243"/>
      <c r="T112" s="243"/>
      <c r="U112" s="243"/>
      <c r="V112" s="243"/>
      <c r="W112" s="243"/>
      <c r="X112" s="243"/>
      <c r="Y112" s="243"/>
      <c r="Z112" s="243"/>
      <c r="AA112" s="243"/>
      <c r="AB112" s="243"/>
      <c r="AC112" s="105"/>
      <c r="AD112" s="105"/>
      <c r="AE112" s="105"/>
      <c r="AF112" s="105"/>
      <c r="AG112" s="105"/>
      <c r="AH112" s="105"/>
      <c r="AI112" s="105"/>
      <c r="AJ112" s="105"/>
      <c r="AK112" s="105"/>
      <c r="AL112" s="105"/>
      <c r="AM112" s="105"/>
      <c r="AN112" s="105"/>
      <c r="AO112" s="105"/>
      <c r="AP112" s="105"/>
      <c r="AQ112" s="105"/>
      <c r="AR112" s="105"/>
      <c r="AS112" s="105"/>
      <c r="AT112" s="105"/>
      <c r="AU112" s="105"/>
      <c r="AV112" s="105"/>
      <c r="AW112" s="105"/>
      <c r="AX112" s="105"/>
      <c r="AY112" s="105"/>
      <c r="AZ112" s="105"/>
      <c r="BA112" s="105"/>
      <c r="BB112" s="105"/>
      <c r="BC112" s="105"/>
      <c r="BD112" s="105"/>
      <c r="BE112" s="105"/>
      <c r="BF112" s="105"/>
      <c r="BG112" s="105"/>
      <c r="BH112" s="105"/>
      <c r="BI112" s="105"/>
      <c r="BJ112" s="105"/>
      <c r="BK112" s="105"/>
      <c r="BL112" s="105"/>
      <c r="BM112" s="105"/>
      <c r="BN112" s="105"/>
      <c r="BO112" s="105"/>
      <c r="BP112" s="105"/>
      <c r="BQ112" s="105"/>
      <c r="BR112" s="105"/>
      <c r="BS112" s="105"/>
      <c r="BT112" s="105"/>
      <c r="BU112" s="105"/>
      <c r="BV112" s="105"/>
      <c r="BW112" s="105"/>
      <c r="BX112" s="105"/>
      <c r="BY112" s="105"/>
      <c r="BZ112" s="105"/>
      <c r="CA112" s="105"/>
      <c r="CB112" s="105"/>
      <c r="CC112" s="105"/>
      <c r="CD112" s="105"/>
      <c r="CE112" s="105"/>
      <c r="CF112" s="105"/>
      <c r="CG112" s="105"/>
      <c r="CH112" s="105"/>
      <c r="CI112" s="105"/>
      <c r="CJ112" s="105"/>
      <c r="CK112" s="105"/>
      <c r="CL112" s="105"/>
      <c r="CM112" s="105"/>
      <c r="CN112" s="105"/>
      <c r="CO112" s="105"/>
      <c r="CP112" s="105"/>
      <c r="CQ112" s="105"/>
      <c r="CR112" s="105"/>
      <c r="CS112" s="105"/>
      <c r="CT112" s="105"/>
      <c r="CU112" s="105"/>
      <c r="CV112" s="105"/>
      <c r="CW112" s="105"/>
      <c r="CX112" s="105"/>
      <c r="CY112" s="105"/>
      <c r="CZ112" s="104"/>
      <c r="DA112" s="105"/>
      <c r="DB112" s="105"/>
      <c r="DC112" s="105"/>
      <c r="DD112" s="105"/>
      <c r="DE112" s="105"/>
      <c r="DF112" s="105"/>
      <c r="DG112" s="105"/>
      <c r="DH112" s="105"/>
      <c r="DI112" s="105"/>
      <c r="DJ112" s="105"/>
      <c r="DK112" s="104"/>
      <c r="DL112" s="104"/>
    </row>
    <row r="113" ht="12.0" customHeight="1">
      <c r="A113" s="104"/>
      <c r="B113" s="104"/>
      <c r="C113" s="243"/>
      <c r="D113" s="243"/>
      <c r="E113" s="243"/>
      <c r="F113" s="243"/>
      <c r="G113" s="243"/>
      <c r="H113" s="243"/>
      <c r="I113" s="243"/>
      <c r="J113" s="243"/>
      <c r="K113" s="243"/>
      <c r="L113" s="243"/>
      <c r="M113" s="243"/>
      <c r="N113" s="243"/>
      <c r="O113" s="243"/>
      <c r="P113" s="243"/>
      <c r="Q113" s="243"/>
      <c r="R113" s="243"/>
      <c r="S113" s="243"/>
      <c r="T113" s="243"/>
      <c r="U113" s="243"/>
      <c r="V113" s="243"/>
      <c r="W113" s="243"/>
      <c r="X113" s="243"/>
      <c r="Y113" s="243"/>
      <c r="Z113" s="243"/>
      <c r="AA113" s="243"/>
      <c r="AB113" s="243"/>
      <c r="AC113" s="105"/>
      <c r="AD113" s="105"/>
      <c r="AE113" s="105"/>
      <c r="AF113" s="105"/>
      <c r="AG113" s="105"/>
      <c r="AH113" s="105"/>
      <c r="AI113" s="105"/>
      <c r="AJ113" s="105"/>
      <c r="AK113" s="105"/>
      <c r="AL113" s="105"/>
      <c r="AM113" s="105"/>
      <c r="AN113" s="105"/>
      <c r="AO113" s="105"/>
      <c r="AP113" s="105"/>
      <c r="AQ113" s="105"/>
      <c r="AR113" s="105"/>
      <c r="AS113" s="105"/>
      <c r="AT113" s="105"/>
      <c r="AU113" s="105"/>
      <c r="AV113" s="105"/>
      <c r="AW113" s="105"/>
      <c r="AX113" s="105"/>
      <c r="AY113" s="105"/>
      <c r="AZ113" s="105"/>
      <c r="BA113" s="105"/>
      <c r="BB113" s="105"/>
      <c r="BC113" s="105"/>
      <c r="BD113" s="105"/>
      <c r="BE113" s="105"/>
      <c r="BF113" s="105"/>
      <c r="BG113" s="105"/>
      <c r="BH113" s="105"/>
      <c r="BI113" s="105"/>
      <c r="BJ113" s="105"/>
      <c r="BK113" s="105"/>
      <c r="BL113" s="105"/>
      <c r="BM113" s="105"/>
      <c r="BN113" s="105"/>
      <c r="BO113" s="105"/>
      <c r="BP113" s="105"/>
      <c r="BQ113" s="105"/>
      <c r="BR113" s="105"/>
      <c r="BS113" s="105"/>
      <c r="BT113" s="105"/>
      <c r="BU113" s="105"/>
      <c r="BV113" s="105"/>
      <c r="BW113" s="105"/>
      <c r="BX113" s="105"/>
      <c r="BY113" s="105"/>
      <c r="BZ113" s="105"/>
      <c r="CA113" s="105"/>
      <c r="CB113" s="105"/>
      <c r="CC113" s="105"/>
      <c r="CD113" s="105"/>
      <c r="CE113" s="105"/>
      <c r="CF113" s="105"/>
      <c r="CG113" s="105"/>
      <c r="CH113" s="105"/>
      <c r="CI113" s="105"/>
      <c r="CJ113" s="105"/>
      <c r="CK113" s="105"/>
      <c r="CL113" s="105"/>
      <c r="CM113" s="105"/>
      <c r="CN113" s="105"/>
      <c r="CO113" s="105"/>
      <c r="CP113" s="105"/>
      <c r="CQ113" s="105"/>
      <c r="CR113" s="105"/>
      <c r="CS113" s="105"/>
      <c r="CT113" s="105"/>
      <c r="CU113" s="105"/>
      <c r="CV113" s="105"/>
      <c r="CW113" s="105"/>
      <c r="CX113" s="105"/>
      <c r="CY113" s="105"/>
      <c r="CZ113" s="104"/>
      <c r="DA113" s="105"/>
      <c r="DB113" s="105"/>
      <c r="DC113" s="105"/>
      <c r="DD113" s="105"/>
      <c r="DE113" s="105"/>
      <c r="DF113" s="105"/>
      <c r="DG113" s="105"/>
      <c r="DH113" s="105"/>
      <c r="DI113" s="105"/>
      <c r="DJ113" s="105"/>
      <c r="DK113" s="104"/>
      <c r="DL113" s="104"/>
    </row>
    <row r="114" ht="12.0" customHeight="1">
      <c r="A114" s="104"/>
      <c r="B114" s="104"/>
      <c r="C114" s="243"/>
      <c r="D114" s="243"/>
      <c r="E114" s="243"/>
      <c r="F114" s="243"/>
      <c r="G114" s="243"/>
      <c r="H114" s="243"/>
      <c r="I114" s="243"/>
      <c r="J114" s="243"/>
      <c r="K114" s="243"/>
      <c r="L114" s="243"/>
      <c r="M114" s="243"/>
      <c r="N114" s="243"/>
      <c r="O114" s="243"/>
      <c r="P114" s="243"/>
      <c r="Q114" s="243"/>
      <c r="R114" s="243"/>
      <c r="S114" s="243"/>
      <c r="T114" s="243"/>
      <c r="U114" s="243"/>
      <c r="V114" s="243"/>
      <c r="W114" s="243"/>
      <c r="X114" s="243"/>
      <c r="Y114" s="243"/>
      <c r="Z114" s="243"/>
      <c r="AA114" s="243"/>
      <c r="AB114" s="243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5"/>
      <c r="AO114" s="105"/>
      <c r="AP114" s="105"/>
      <c r="AQ114" s="105"/>
      <c r="AR114" s="105"/>
      <c r="AS114" s="105"/>
      <c r="AT114" s="105"/>
      <c r="AU114" s="105"/>
      <c r="AV114" s="105"/>
      <c r="AW114" s="105"/>
      <c r="AX114" s="105"/>
      <c r="AY114" s="105"/>
      <c r="AZ114" s="105"/>
      <c r="BA114" s="105"/>
      <c r="BB114" s="105"/>
      <c r="BC114" s="105"/>
      <c r="BD114" s="105"/>
      <c r="BE114" s="105"/>
      <c r="BF114" s="105"/>
      <c r="BG114" s="105"/>
      <c r="BH114" s="105"/>
      <c r="BI114" s="105"/>
      <c r="BJ114" s="105"/>
      <c r="BK114" s="105"/>
      <c r="BL114" s="105"/>
      <c r="BM114" s="105"/>
      <c r="BN114" s="105"/>
      <c r="BO114" s="105"/>
      <c r="BP114" s="105"/>
      <c r="BQ114" s="105"/>
      <c r="BR114" s="105"/>
      <c r="BS114" s="105"/>
      <c r="BT114" s="105"/>
      <c r="BU114" s="105"/>
      <c r="BV114" s="105"/>
      <c r="BW114" s="105"/>
      <c r="BX114" s="105"/>
      <c r="BY114" s="105"/>
      <c r="BZ114" s="105"/>
      <c r="CA114" s="105"/>
      <c r="CB114" s="105"/>
      <c r="CC114" s="105"/>
      <c r="CD114" s="105"/>
      <c r="CE114" s="105"/>
      <c r="CF114" s="105"/>
      <c r="CG114" s="105"/>
      <c r="CH114" s="105"/>
      <c r="CI114" s="105"/>
      <c r="CJ114" s="105"/>
      <c r="CK114" s="105"/>
      <c r="CL114" s="105"/>
      <c r="CM114" s="105"/>
      <c r="CN114" s="105"/>
      <c r="CO114" s="105"/>
      <c r="CP114" s="105"/>
      <c r="CQ114" s="105"/>
      <c r="CR114" s="105"/>
      <c r="CS114" s="105"/>
      <c r="CT114" s="105"/>
      <c r="CU114" s="105"/>
      <c r="CV114" s="105"/>
      <c r="CW114" s="105"/>
      <c r="CX114" s="105"/>
      <c r="CY114" s="105"/>
      <c r="CZ114" s="104"/>
      <c r="DA114" s="105"/>
      <c r="DB114" s="105"/>
      <c r="DC114" s="105"/>
      <c r="DD114" s="105"/>
      <c r="DE114" s="105"/>
      <c r="DF114" s="105"/>
      <c r="DG114" s="105"/>
      <c r="DH114" s="105"/>
      <c r="DI114" s="105"/>
      <c r="DJ114" s="105"/>
      <c r="DK114" s="104"/>
      <c r="DL114" s="104"/>
    </row>
    <row r="115" ht="12.0" customHeight="1">
      <c r="A115" s="104"/>
      <c r="B115" s="104"/>
      <c r="C115" s="243"/>
      <c r="D115" s="243"/>
      <c r="E115" s="243"/>
      <c r="F115" s="243"/>
      <c r="G115" s="243"/>
      <c r="H115" s="243"/>
      <c r="I115" s="243"/>
      <c r="J115" s="243"/>
      <c r="K115" s="243"/>
      <c r="L115" s="243"/>
      <c r="M115" s="243"/>
      <c r="N115" s="243"/>
      <c r="O115" s="243"/>
      <c r="P115" s="243"/>
      <c r="Q115" s="243"/>
      <c r="R115" s="243"/>
      <c r="S115" s="243"/>
      <c r="T115" s="243"/>
      <c r="U115" s="243"/>
      <c r="V115" s="243"/>
      <c r="W115" s="243"/>
      <c r="X115" s="243"/>
      <c r="Y115" s="243"/>
      <c r="Z115" s="243"/>
      <c r="AA115" s="243"/>
      <c r="AB115" s="243"/>
      <c r="AC115" s="105"/>
      <c r="AD115" s="105"/>
      <c r="AE115" s="105"/>
      <c r="AF115" s="105"/>
      <c r="AG115" s="105"/>
      <c r="AH115" s="105"/>
      <c r="AI115" s="105"/>
      <c r="AJ115" s="105"/>
      <c r="AK115" s="105"/>
      <c r="AL115" s="105"/>
      <c r="AM115" s="105"/>
      <c r="AN115" s="105"/>
      <c r="AO115" s="105"/>
      <c r="AP115" s="105"/>
      <c r="AQ115" s="105"/>
      <c r="AR115" s="105"/>
      <c r="AS115" s="105"/>
      <c r="AT115" s="105"/>
      <c r="AU115" s="105"/>
      <c r="AV115" s="105"/>
      <c r="AW115" s="105"/>
      <c r="AX115" s="105"/>
      <c r="AY115" s="105"/>
      <c r="AZ115" s="105"/>
      <c r="BA115" s="105"/>
      <c r="BB115" s="105"/>
      <c r="BC115" s="105"/>
      <c r="BD115" s="105"/>
      <c r="BE115" s="105"/>
      <c r="BF115" s="105"/>
      <c r="BG115" s="105"/>
      <c r="BH115" s="105"/>
      <c r="BI115" s="105"/>
      <c r="BJ115" s="105"/>
      <c r="BK115" s="105"/>
      <c r="BL115" s="105"/>
      <c r="BM115" s="105"/>
      <c r="BN115" s="105"/>
      <c r="BO115" s="105"/>
      <c r="BP115" s="105"/>
      <c r="BQ115" s="105"/>
      <c r="BR115" s="105"/>
      <c r="BS115" s="105"/>
      <c r="BT115" s="105"/>
      <c r="BU115" s="105"/>
      <c r="BV115" s="105"/>
      <c r="BW115" s="105"/>
      <c r="BX115" s="105"/>
      <c r="BY115" s="105"/>
      <c r="BZ115" s="105"/>
      <c r="CA115" s="105"/>
      <c r="CB115" s="105"/>
      <c r="CC115" s="105"/>
      <c r="CD115" s="105"/>
      <c r="CE115" s="105"/>
      <c r="CF115" s="105"/>
      <c r="CG115" s="105"/>
      <c r="CH115" s="105"/>
      <c r="CI115" s="105"/>
      <c r="CJ115" s="105"/>
      <c r="CK115" s="105"/>
      <c r="CL115" s="105"/>
      <c r="CM115" s="105"/>
      <c r="CN115" s="105"/>
      <c r="CO115" s="105"/>
      <c r="CP115" s="105"/>
      <c r="CQ115" s="105"/>
      <c r="CR115" s="105"/>
      <c r="CS115" s="105"/>
      <c r="CT115" s="105"/>
      <c r="CU115" s="105"/>
      <c r="CV115" s="105"/>
      <c r="CW115" s="105"/>
      <c r="CX115" s="105"/>
      <c r="CY115" s="105"/>
      <c r="CZ115" s="104"/>
      <c r="DA115" s="105"/>
      <c r="DB115" s="105"/>
      <c r="DC115" s="105"/>
      <c r="DD115" s="105"/>
      <c r="DE115" s="105"/>
      <c r="DF115" s="105"/>
      <c r="DG115" s="105"/>
      <c r="DH115" s="105"/>
      <c r="DI115" s="105"/>
      <c r="DJ115" s="105"/>
      <c r="DK115" s="104"/>
      <c r="DL115" s="104"/>
    </row>
    <row r="116" ht="12.0" customHeight="1">
      <c r="A116" s="104"/>
      <c r="B116" s="104"/>
      <c r="C116" s="243"/>
      <c r="D116" s="243"/>
      <c r="E116" s="243"/>
      <c r="F116" s="243"/>
      <c r="G116" s="243"/>
      <c r="H116" s="243"/>
      <c r="I116" s="243"/>
      <c r="J116" s="243"/>
      <c r="K116" s="243"/>
      <c r="L116" s="243"/>
      <c r="M116" s="243"/>
      <c r="N116" s="243"/>
      <c r="O116" s="243"/>
      <c r="P116" s="243"/>
      <c r="Q116" s="243"/>
      <c r="R116" s="243"/>
      <c r="S116" s="243"/>
      <c r="T116" s="243"/>
      <c r="U116" s="243"/>
      <c r="V116" s="243"/>
      <c r="W116" s="243"/>
      <c r="X116" s="243"/>
      <c r="Y116" s="243"/>
      <c r="Z116" s="243"/>
      <c r="AA116" s="243"/>
      <c r="AB116" s="243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/>
      <c r="AU116" s="105"/>
      <c r="AV116" s="105"/>
      <c r="AW116" s="105"/>
      <c r="AX116" s="105"/>
      <c r="AY116" s="105"/>
      <c r="AZ116" s="105"/>
      <c r="BA116" s="105"/>
      <c r="BB116" s="105"/>
      <c r="BC116" s="105"/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/>
      <c r="CJ116" s="105"/>
      <c r="CK116" s="105"/>
      <c r="CL116" s="105"/>
      <c r="CM116" s="105"/>
      <c r="CN116" s="105"/>
      <c r="CO116" s="105"/>
      <c r="CP116" s="105"/>
      <c r="CQ116" s="105"/>
      <c r="CR116" s="105"/>
      <c r="CS116" s="105"/>
      <c r="CT116" s="105"/>
      <c r="CU116" s="105"/>
      <c r="CV116" s="105"/>
      <c r="CW116" s="105"/>
      <c r="CX116" s="105"/>
      <c r="CY116" s="105"/>
      <c r="CZ116" s="104"/>
      <c r="DA116" s="105"/>
      <c r="DB116" s="105"/>
      <c r="DC116" s="105"/>
      <c r="DD116" s="105"/>
      <c r="DE116" s="105"/>
      <c r="DF116" s="105"/>
      <c r="DG116" s="105"/>
      <c r="DH116" s="105"/>
      <c r="DI116" s="105"/>
      <c r="DJ116" s="105"/>
      <c r="DK116" s="104"/>
      <c r="DL116" s="104"/>
    </row>
    <row r="117" ht="12.0" customHeight="1">
      <c r="A117" s="104"/>
      <c r="B117" s="104"/>
      <c r="C117" s="243"/>
      <c r="D117" s="243"/>
      <c r="E117" s="243"/>
      <c r="F117" s="243"/>
      <c r="G117" s="243"/>
      <c r="H117" s="243"/>
      <c r="I117" s="243"/>
      <c r="J117" s="243"/>
      <c r="K117" s="243"/>
      <c r="L117" s="243"/>
      <c r="M117" s="243"/>
      <c r="N117" s="243"/>
      <c r="O117" s="243"/>
      <c r="P117" s="243"/>
      <c r="Q117" s="243"/>
      <c r="R117" s="243"/>
      <c r="S117" s="243"/>
      <c r="T117" s="243"/>
      <c r="U117" s="243"/>
      <c r="V117" s="243"/>
      <c r="W117" s="243"/>
      <c r="X117" s="243"/>
      <c r="Y117" s="243"/>
      <c r="Z117" s="243"/>
      <c r="AA117" s="243"/>
      <c r="AB117" s="243"/>
      <c r="AC117" s="105"/>
      <c r="AD117" s="105"/>
      <c r="AE117" s="105"/>
      <c r="AF117" s="105"/>
      <c r="AG117" s="105"/>
      <c r="AH117" s="105"/>
      <c r="AI117" s="105"/>
      <c r="AJ117" s="105"/>
      <c r="AK117" s="105"/>
      <c r="AL117" s="105"/>
      <c r="AM117" s="105"/>
      <c r="AN117" s="105"/>
      <c r="AO117" s="105"/>
      <c r="AP117" s="105"/>
      <c r="AQ117" s="105"/>
      <c r="AR117" s="105"/>
      <c r="AS117" s="105"/>
      <c r="AT117" s="105"/>
      <c r="AU117" s="105"/>
      <c r="AV117" s="105"/>
      <c r="AW117" s="105"/>
      <c r="AX117" s="105"/>
      <c r="AY117" s="105"/>
      <c r="AZ117" s="105"/>
      <c r="BA117" s="105"/>
      <c r="BB117" s="105"/>
      <c r="BC117" s="105"/>
      <c r="BD117" s="105"/>
      <c r="BE117" s="105"/>
      <c r="BF117" s="105"/>
      <c r="BG117" s="105"/>
      <c r="BH117" s="105"/>
      <c r="BI117" s="105"/>
      <c r="BJ117" s="105"/>
      <c r="BK117" s="105"/>
      <c r="BL117" s="105"/>
      <c r="BM117" s="105"/>
      <c r="BN117" s="105"/>
      <c r="BO117" s="105"/>
      <c r="BP117" s="105"/>
      <c r="BQ117" s="105"/>
      <c r="BR117" s="105"/>
      <c r="BS117" s="105"/>
      <c r="BT117" s="105"/>
      <c r="BU117" s="105"/>
      <c r="BV117" s="105"/>
      <c r="BW117" s="105"/>
      <c r="BX117" s="105"/>
      <c r="BY117" s="105"/>
      <c r="BZ117" s="105"/>
      <c r="CA117" s="105"/>
      <c r="CB117" s="105"/>
      <c r="CC117" s="105"/>
      <c r="CD117" s="105"/>
      <c r="CE117" s="105"/>
      <c r="CF117" s="105"/>
      <c r="CG117" s="105"/>
      <c r="CH117" s="105"/>
      <c r="CI117" s="105"/>
      <c r="CJ117" s="105"/>
      <c r="CK117" s="105"/>
      <c r="CL117" s="105"/>
      <c r="CM117" s="105"/>
      <c r="CN117" s="105"/>
      <c r="CO117" s="105"/>
      <c r="CP117" s="105"/>
      <c r="CQ117" s="105"/>
      <c r="CR117" s="105"/>
      <c r="CS117" s="105"/>
      <c r="CT117" s="105"/>
      <c r="CU117" s="105"/>
      <c r="CV117" s="105"/>
      <c r="CW117" s="105"/>
      <c r="CX117" s="105"/>
      <c r="CY117" s="105"/>
      <c r="CZ117" s="104"/>
      <c r="DA117" s="105"/>
      <c r="DB117" s="105"/>
      <c r="DC117" s="105"/>
      <c r="DD117" s="105"/>
      <c r="DE117" s="105"/>
      <c r="DF117" s="105"/>
      <c r="DG117" s="105"/>
      <c r="DH117" s="105"/>
      <c r="DI117" s="105"/>
      <c r="DJ117" s="105"/>
      <c r="DK117" s="104"/>
      <c r="DL117" s="104"/>
    </row>
    <row r="118" ht="12.0" customHeight="1">
      <c r="A118" s="104"/>
      <c r="B118" s="104"/>
      <c r="C118" s="243"/>
      <c r="D118" s="243"/>
      <c r="E118" s="243"/>
      <c r="F118" s="243"/>
      <c r="G118" s="243"/>
      <c r="H118" s="243"/>
      <c r="I118" s="243"/>
      <c r="J118" s="243"/>
      <c r="K118" s="243"/>
      <c r="L118" s="243"/>
      <c r="M118" s="243"/>
      <c r="N118" s="243"/>
      <c r="O118" s="243"/>
      <c r="P118" s="243"/>
      <c r="Q118" s="243"/>
      <c r="R118" s="243"/>
      <c r="S118" s="243"/>
      <c r="T118" s="243"/>
      <c r="U118" s="243"/>
      <c r="V118" s="243"/>
      <c r="W118" s="243"/>
      <c r="X118" s="243"/>
      <c r="Y118" s="243"/>
      <c r="Z118" s="243"/>
      <c r="AA118" s="243"/>
      <c r="AB118" s="243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  <c r="BA118" s="105"/>
      <c r="BB118" s="105"/>
      <c r="BC118" s="105"/>
      <c r="BD118" s="105"/>
      <c r="BE118" s="105"/>
      <c r="BF118" s="105"/>
      <c r="BG118" s="105"/>
      <c r="BH118" s="105"/>
      <c r="BI118" s="105"/>
      <c r="BJ118" s="105"/>
      <c r="BK118" s="105"/>
      <c r="BL118" s="105"/>
      <c r="BM118" s="105"/>
      <c r="BN118" s="105"/>
      <c r="BO118" s="105"/>
      <c r="BP118" s="105"/>
      <c r="BQ118" s="105"/>
      <c r="BR118" s="105"/>
      <c r="BS118" s="105"/>
      <c r="BT118" s="105"/>
      <c r="BU118" s="105"/>
      <c r="BV118" s="105"/>
      <c r="BW118" s="105"/>
      <c r="BX118" s="105"/>
      <c r="BY118" s="105"/>
      <c r="BZ118" s="105"/>
      <c r="CA118" s="105"/>
      <c r="CB118" s="105"/>
      <c r="CC118" s="105"/>
      <c r="CD118" s="105"/>
      <c r="CE118" s="105"/>
      <c r="CF118" s="105"/>
      <c r="CG118" s="105"/>
      <c r="CH118" s="105"/>
      <c r="CI118" s="105"/>
      <c r="CJ118" s="105"/>
      <c r="CK118" s="105"/>
      <c r="CL118" s="105"/>
      <c r="CM118" s="105"/>
      <c r="CN118" s="105"/>
      <c r="CO118" s="105"/>
      <c r="CP118" s="105"/>
      <c r="CQ118" s="105"/>
      <c r="CR118" s="105"/>
      <c r="CS118" s="105"/>
      <c r="CT118" s="105"/>
      <c r="CU118" s="105"/>
      <c r="CV118" s="105"/>
      <c r="CW118" s="105"/>
      <c r="CX118" s="105"/>
      <c r="CY118" s="105"/>
      <c r="CZ118" s="104"/>
      <c r="DA118" s="105"/>
      <c r="DB118" s="105"/>
      <c r="DC118" s="105"/>
      <c r="DD118" s="105"/>
      <c r="DE118" s="105"/>
      <c r="DF118" s="105"/>
      <c r="DG118" s="105"/>
      <c r="DH118" s="105"/>
      <c r="DI118" s="105"/>
      <c r="DJ118" s="105"/>
      <c r="DK118" s="104"/>
      <c r="DL118" s="104"/>
    </row>
    <row r="119" ht="12.0" customHeight="1">
      <c r="A119" s="104"/>
      <c r="B119" s="104"/>
      <c r="C119" s="243"/>
      <c r="D119" s="243"/>
      <c r="E119" s="243"/>
      <c r="F119" s="243"/>
      <c r="G119" s="243"/>
      <c r="H119" s="243"/>
      <c r="I119" s="243"/>
      <c r="J119" s="243"/>
      <c r="K119" s="243"/>
      <c r="L119" s="243"/>
      <c r="M119" s="243"/>
      <c r="N119" s="243"/>
      <c r="O119" s="243"/>
      <c r="P119" s="243"/>
      <c r="Q119" s="243"/>
      <c r="R119" s="243"/>
      <c r="S119" s="243"/>
      <c r="T119" s="243"/>
      <c r="U119" s="243"/>
      <c r="V119" s="243"/>
      <c r="W119" s="243"/>
      <c r="X119" s="243"/>
      <c r="Y119" s="243"/>
      <c r="Z119" s="243"/>
      <c r="AA119" s="243"/>
      <c r="AB119" s="243"/>
      <c r="AC119" s="105"/>
      <c r="AD119" s="105"/>
      <c r="AE119" s="105"/>
      <c r="AF119" s="105"/>
      <c r="AG119" s="105"/>
      <c r="AH119" s="105"/>
      <c r="AI119" s="105"/>
      <c r="AJ119" s="105"/>
      <c r="AK119" s="105"/>
      <c r="AL119" s="105"/>
      <c r="AM119" s="105"/>
      <c r="AN119" s="105"/>
      <c r="AO119" s="105"/>
      <c r="AP119" s="105"/>
      <c r="AQ119" s="105"/>
      <c r="AR119" s="105"/>
      <c r="AS119" s="105"/>
      <c r="AT119" s="105"/>
      <c r="AU119" s="105"/>
      <c r="AV119" s="105"/>
      <c r="AW119" s="105"/>
      <c r="AX119" s="105"/>
      <c r="AY119" s="105"/>
      <c r="AZ119" s="105"/>
      <c r="BA119" s="105"/>
      <c r="BB119" s="105"/>
      <c r="BC119" s="105"/>
      <c r="BD119" s="105"/>
      <c r="BE119" s="105"/>
      <c r="BF119" s="105"/>
      <c r="BG119" s="105"/>
      <c r="BH119" s="105"/>
      <c r="BI119" s="105"/>
      <c r="BJ119" s="105"/>
      <c r="BK119" s="105"/>
      <c r="BL119" s="105"/>
      <c r="BM119" s="105"/>
      <c r="BN119" s="105"/>
      <c r="BO119" s="105"/>
      <c r="BP119" s="105"/>
      <c r="BQ119" s="105"/>
      <c r="BR119" s="105"/>
      <c r="BS119" s="105"/>
      <c r="BT119" s="105"/>
      <c r="BU119" s="105"/>
      <c r="BV119" s="105"/>
      <c r="BW119" s="105"/>
      <c r="BX119" s="105"/>
      <c r="BY119" s="105"/>
      <c r="BZ119" s="105"/>
      <c r="CA119" s="105"/>
      <c r="CB119" s="105"/>
      <c r="CC119" s="105"/>
      <c r="CD119" s="105"/>
      <c r="CE119" s="105"/>
      <c r="CF119" s="105"/>
      <c r="CG119" s="105"/>
      <c r="CH119" s="105"/>
      <c r="CI119" s="105"/>
      <c r="CJ119" s="105"/>
      <c r="CK119" s="105"/>
      <c r="CL119" s="105"/>
      <c r="CM119" s="105"/>
      <c r="CN119" s="105"/>
      <c r="CO119" s="105"/>
      <c r="CP119" s="105"/>
      <c r="CQ119" s="105"/>
      <c r="CR119" s="105"/>
      <c r="CS119" s="105"/>
      <c r="CT119" s="105"/>
      <c r="CU119" s="105"/>
      <c r="CV119" s="105"/>
      <c r="CW119" s="105"/>
      <c r="CX119" s="105"/>
      <c r="CY119" s="105"/>
      <c r="CZ119" s="104"/>
      <c r="DA119" s="105"/>
      <c r="DB119" s="105"/>
      <c r="DC119" s="105"/>
      <c r="DD119" s="105"/>
      <c r="DE119" s="105"/>
      <c r="DF119" s="105"/>
      <c r="DG119" s="105"/>
      <c r="DH119" s="105"/>
      <c r="DI119" s="105"/>
      <c r="DJ119" s="105"/>
      <c r="DK119" s="104"/>
      <c r="DL119" s="104"/>
    </row>
    <row r="120" ht="12.0" customHeight="1">
      <c r="A120" s="104"/>
      <c r="B120" s="104"/>
      <c r="C120" s="243"/>
      <c r="D120" s="243"/>
      <c r="E120" s="243"/>
      <c r="F120" s="243"/>
      <c r="G120" s="243"/>
      <c r="H120" s="243"/>
      <c r="I120" s="243"/>
      <c r="J120" s="243"/>
      <c r="K120" s="243"/>
      <c r="L120" s="243"/>
      <c r="M120" s="243"/>
      <c r="N120" s="243"/>
      <c r="O120" s="243"/>
      <c r="P120" s="243"/>
      <c r="Q120" s="243"/>
      <c r="R120" s="243"/>
      <c r="S120" s="243"/>
      <c r="T120" s="243"/>
      <c r="U120" s="243"/>
      <c r="V120" s="243"/>
      <c r="W120" s="243"/>
      <c r="X120" s="243"/>
      <c r="Y120" s="243"/>
      <c r="Z120" s="243"/>
      <c r="AA120" s="243"/>
      <c r="AB120" s="243"/>
      <c r="AC120" s="105"/>
      <c r="AD120" s="105"/>
      <c r="AE120" s="105"/>
      <c r="AF120" s="105"/>
      <c r="AG120" s="105"/>
      <c r="AH120" s="105"/>
      <c r="AI120" s="105"/>
      <c r="AJ120" s="105"/>
      <c r="AK120" s="105"/>
      <c r="AL120" s="105"/>
      <c r="AM120" s="105"/>
      <c r="AN120" s="105"/>
      <c r="AO120" s="105"/>
      <c r="AP120" s="105"/>
      <c r="AQ120" s="105"/>
      <c r="AR120" s="105"/>
      <c r="AS120" s="105"/>
      <c r="AT120" s="105"/>
      <c r="AU120" s="105"/>
      <c r="AV120" s="105"/>
      <c r="AW120" s="105"/>
      <c r="AX120" s="105"/>
      <c r="AY120" s="105"/>
      <c r="AZ120" s="105"/>
      <c r="BA120" s="105"/>
      <c r="BB120" s="105"/>
      <c r="BC120" s="105"/>
      <c r="BD120" s="105"/>
      <c r="BE120" s="105"/>
      <c r="BF120" s="105"/>
      <c r="BG120" s="105"/>
      <c r="BH120" s="105"/>
      <c r="BI120" s="105"/>
      <c r="BJ120" s="105"/>
      <c r="BK120" s="105"/>
      <c r="BL120" s="105"/>
      <c r="BM120" s="105"/>
      <c r="BN120" s="105"/>
      <c r="BO120" s="105"/>
      <c r="BP120" s="105"/>
      <c r="BQ120" s="105"/>
      <c r="BR120" s="105"/>
      <c r="BS120" s="105"/>
      <c r="BT120" s="105"/>
      <c r="BU120" s="105"/>
      <c r="BV120" s="105"/>
      <c r="BW120" s="105"/>
      <c r="BX120" s="105"/>
      <c r="BY120" s="105"/>
      <c r="BZ120" s="105"/>
      <c r="CA120" s="105"/>
      <c r="CB120" s="105"/>
      <c r="CC120" s="105"/>
      <c r="CD120" s="105"/>
      <c r="CE120" s="105"/>
      <c r="CF120" s="105"/>
      <c r="CG120" s="105"/>
      <c r="CH120" s="105"/>
      <c r="CI120" s="105"/>
      <c r="CJ120" s="105"/>
      <c r="CK120" s="105"/>
      <c r="CL120" s="105"/>
      <c r="CM120" s="105"/>
      <c r="CN120" s="105"/>
      <c r="CO120" s="105"/>
      <c r="CP120" s="105"/>
      <c r="CQ120" s="105"/>
      <c r="CR120" s="105"/>
      <c r="CS120" s="105"/>
      <c r="CT120" s="105"/>
      <c r="CU120" s="105"/>
      <c r="CV120" s="105"/>
      <c r="CW120" s="105"/>
      <c r="CX120" s="105"/>
      <c r="CY120" s="105"/>
      <c r="CZ120" s="104"/>
      <c r="DA120" s="105"/>
      <c r="DB120" s="105"/>
      <c r="DC120" s="105"/>
      <c r="DD120" s="105"/>
      <c r="DE120" s="105"/>
      <c r="DF120" s="105"/>
      <c r="DG120" s="105"/>
      <c r="DH120" s="105"/>
      <c r="DI120" s="105"/>
      <c r="DJ120" s="105"/>
      <c r="DK120" s="104"/>
      <c r="DL120" s="104"/>
    </row>
    <row r="121" ht="12.0" customHeight="1">
      <c r="A121" s="104"/>
      <c r="B121" s="104"/>
      <c r="C121" s="243"/>
      <c r="D121" s="243"/>
      <c r="E121" s="243"/>
      <c r="F121" s="243"/>
      <c r="G121" s="243"/>
      <c r="H121" s="243"/>
      <c r="I121" s="243"/>
      <c r="J121" s="243"/>
      <c r="K121" s="243"/>
      <c r="L121" s="243"/>
      <c r="M121" s="243"/>
      <c r="N121" s="243"/>
      <c r="O121" s="243"/>
      <c r="P121" s="243"/>
      <c r="Q121" s="243"/>
      <c r="R121" s="243"/>
      <c r="S121" s="243"/>
      <c r="T121" s="243"/>
      <c r="U121" s="243"/>
      <c r="V121" s="243"/>
      <c r="W121" s="243"/>
      <c r="X121" s="243"/>
      <c r="Y121" s="243"/>
      <c r="Z121" s="243"/>
      <c r="AA121" s="243"/>
      <c r="AB121" s="243"/>
      <c r="AC121" s="105"/>
      <c r="AD121" s="105"/>
      <c r="AE121" s="105"/>
      <c r="AF121" s="105"/>
      <c r="AG121" s="105"/>
      <c r="AH121" s="105"/>
      <c r="AI121" s="105"/>
      <c r="AJ121" s="105"/>
      <c r="AK121" s="105"/>
      <c r="AL121" s="105"/>
      <c r="AM121" s="105"/>
      <c r="AN121" s="105"/>
      <c r="AO121" s="105"/>
      <c r="AP121" s="105"/>
      <c r="AQ121" s="105"/>
      <c r="AR121" s="105"/>
      <c r="AS121" s="105"/>
      <c r="AT121" s="105"/>
      <c r="AU121" s="105"/>
      <c r="AV121" s="105"/>
      <c r="AW121" s="105"/>
      <c r="AX121" s="105"/>
      <c r="AY121" s="105"/>
      <c r="AZ121" s="105"/>
      <c r="BA121" s="105"/>
      <c r="BB121" s="105"/>
      <c r="BC121" s="105"/>
      <c r="BD121" s="105"/>
      <c r="BE121" s="105"/>
      <c r="BF121" s="105"/>
      <c r="BG121" s="105"/>
      <c r="BH121" s="105"/>
      <c r="BI121" s="105"/>
      <c r="BJ121" s="105"/>
      <c r="BK121" s="105"/>
      <c r="BL121" s="105"/>
      <c r="BM121" s="105"/>
      <c r="BN121" s="105"/>
      <c r="BO121" s="105"/>
      <c r="BP121" s="105"/>
      <c r="BQ121" s="105"/>
      <c r="BR121" s="105"/>
      <c r="BS121" s="105"/>
      <c r="BT121" s="105"/>
      <c r="BU121" s="105"/>
      <c r="BV121" s="105"/>
      <c r="BW121" s="105"/>
      <c r="BX121" s="105"/>
      <c r="BY121" s="105"/>
      <c r="BZ121" s="105"/>
      <c r="CA121" s="105"/>
      <c r="CB121" s="105"/>
      <c r="CC121" s="105"/>
      <c r="CD121" s="105"/>
      <c r="CE121" s="105"/>
      <c r="CF121" s="105"/>
      <c r="CG121" s="105"/>
      <c r="CH121" s="105"/>
      <c r="CI121" s="105"/>
      <c r="CJ121" s="105"/>
      <c r="CK121" s="105"/>
      <c r="CL121" s="105"/>
      <c r="CM121" s="105"/>
      <c r="CN121" s="105"/>
      <c r="CO121" s="105"/>
      <c r="CP121" s="105"/>
      <c r="CQ121" s="105"/>
      <c r="CR121" s="105"/>
      <c r="CS121" s="105"/>
      <c r="CT121" s="105"/>
      <c r="CU121" s="105"/>
      <c r="CV121" s="105"/>
      <c r="CW121" s="105"/>
      <c r="CX121" s="105"/>
      <c r="CY121" s="105"/>
      <c r="CZ121" s="104"/>
      <c r="DA121" s="105"/>
      <c r="DB121" s="105"/>
      <c r="DC121" s="105"/>
      <c r="DD121" s="105"/>
      <c r="DE121" s="105"/>
      <c r="DF121" s="105"/>
      <c r="DG121" s="105"/>
      <c r="DH121" s="105"/>
      <c r="DI121" s="105"/>
      <c r="DJ121" s="105"/>
      <c r="DK121" s="104"/>
      <c r="DL121" s="104"/>
    </row>
    <row r="122" ht="12.0" customHeight="1">
      <c r="A122" s="104"/>
      <c r="B122" s="104"/>
      <c r="C122" s="243"/>
      <c r="D122" s="243"/>
      <c r="E122" s="243"/>
      <c r="F122" s="243"/>
      <c r="G122" s="243"/>
      <c r="H122" s="243"/>
      <c r="I122" s="243"/>
      <c r="J122" s="243"/>
      <c r="K122" s="243"/>
      <c r="L122" s="243"/>
      <c r="M122" s="243"/>
      <c r="N122" s="243"/>
      <c r="O122" s="243"/>
      <c r="P122" s="243"/>
      <c r="Q122" s="243"/>
      <c r="R122" s="243"/>
      <c r="S122" s="243"/>
      <c r="T122" s="243"/>
      <c r="U122" s="243"/>
      <c r="V122" s="243"/>
      <c r="W122" s="243"/>
      <c r="X122" s="243"/>
      <c r="Y122" s="243"/>
      <c r="Z122" s="243"/>
      <c r="AA122" s="243"/>
      <c r="AB122" s="243"/>
      <c r="AC122" s="105"/>
      <c r="AD122" s="105"/>
      <c r="AE122" s="105"/>
      <c r="AF122" s="105"/>
      <c r="AG122" s="105"/>
      <c r="AH122" s="105"/>
      <c r="AI122" s="105"/>
      <c r="AJ122" s="105"/>
      <c r="AK122" s="105"/>
      <c r="AL122" s="105"/>
      <c r="AM122" s="105"/>
      <c r="AN122" s="105"/>
      <c r="AO122" s="105"/>
      <c r="AP122" s="105"/>
      <c r="AQ122" s="105"/>
      <c r="AR122" s="105"/>
      <c r="AS122" s="105"/>
      <c r="AT122" s="105"/>
      <c r="AU122" s="105"/>
      <c r="AV122" s="105"/>
      <c r="AW122" s="105"/>
      <c r="AX122" s="105"/>
      <c r="AY122" s="105"/>
      <c r="AZ122" s="105"/>
      <c r="BA122" s="105"/>
      <c r="BB122" s="105"/>
      <c r="BC122" s="105"/>
      <c r="BD122" s="105"/>
      <c r="BE122" s="105"/>
      <c r="BF122" s="105"/>
      <c r="BG122" s="105"/>
      <c r="BH122" s="105"/>
      <c r="BI122" s="105"/>
      <c r="BJ122" s="105"/>
      <c r="BK122" s="105"/>
      <c r="BL122" s="105"/>
      <c r="BM122" s="105"/>
      <c r="BN122" s="105"/>
      <c r="BO122" s="105"/>
      <c r="BP122" s="105"/>
      <c r="BQ122" s="105"/>
      <c r="BR122" s="105"/>
      <c r="BS122" s="105"/>
      <c r="BT122" s="105"/>
      <c r="BU122" s="105"/>
      <c r="BV122" s="105"/>
      <c r="BW122" s="105"/>
      <c r="BX122" s="105"/>
      <c r="BY122" s="105"/>
      <c r="BZ122" s="105"/>
      <c r="CA122" s="105"/>
      <c r="CB122" s="105"/>
      <c r="CC122" s="105"/>
      <c r="CD122" s="105"/>
      <c r="CE122" s="105"/>
      <c r="CF122" s="105"/>
      <c r="CG122" s="105"/>
      <c r="CH122" s="105"/>
      <c r="CI122" s="105"/>
      <c r="CJ122" s="105"/>
      <c r="CK122" s="105"/>
      <c r="CL122" s="105"/>
      <c r="CM122" s="105"/>
      <c r="CN122" s="105"/>
      <c r="CO122" s="105"/>
      <c r="CP122" s="105"/>
      <c r="CQ122" s="105"/>
      <c r="CR122" s="105"/>
      <c r="CS122" s="105"/>
      <c r="CT122" s="105"/>
      <c r="CU122" s="105"/>
      <c r="CV122" s="105"/>
      <c r="CW122" s="105"/>
      <c r="CX122" s="105"/>
      <c r="CY122" s="105"/>
      <c r="CZ122" s="104"/>
      <c r="DA122" s="105"/>
      <c r="DB122" s="105"/>
      <c r="DC122" s="105"/>
      <c r="DD122" s="105"/>
      <c r="DE122" s="105"/>
      <c r="DF122" s="105"/>
      <c r="DG122" s="105"/>
      <c r="DH122" s="105"/>
      <c r="DI122" s="105"/>
      <c r="DJ122" s="105"/>
      <c r="DK122" s="104"/>
      <c r="DL122" s="104"/>
    </row>
    <row r="123" ht="12.0" customHeight="1">
      <c r="A123" s="104"/>
      <c r="B123" s="104"/>
      <c r="C123" s="243"/>
      <c r="D123" s="243"/>
      <c r="E123" s="243"/>
      <c r="F123" s="243"/>
      <c r="G123" s="243"/>
      <c r="H123" s="243"/>
      <c r="I123" s="243"/>
      <c r="J123" s="243"/>
      <c r="K123" s="243"/>
      <c r="L123" s="243"/>
      <c r="M123" s="243"/>
      <c r="N123" s="243"/>
      <c r="O123" s="243"/>
      <c r="P123" s="243"/>
      <c r="Q123" s="243"/>
      <c r="R123" s="243"/>
      <c r="S123" s="243"/>
      <c r="T123" s="243"/>
      <c r="U123" s="243"/>
      <c r="V123" s="243"/>
      <c r="W123" s="243"/>
      <c r="X123" s="243"/>
      <c r="Y123" s="243"/>
      <c r="Z123" s="243"/>
      <c r="AA123" s="243"/>
      <c r="AB123" s="243"/>
      <c r="AC123" s="105"/>
      <c r="AD123" s="105"/>
      <c r="AE123" s="105"/>
      <c r="AF123" s="105"/>
      <c r="AG123" s="105"/>
      <c r="AH123" s="105"/>
      <c r="AI123" s="105"/>
      <c r="AJ123" s="105"/>
      <c r="AK123" s="105"/>
      <c r="AL123" s="105"/>
      <c r="AM123" s="105"/>
      <c r="AN123" s="105"/>
      <c r="AO123" s="105"/>
      <c r="AP123" s="105"/>
      <c r="AQ123" s="105"/>
      <c r="AR123" s="105"/>
      <c r="AS123" s="105"/>
      <c r="AT123" s="105"/>
      <c r="AU123" s="105"/>
      <c r="AV123" s="105"/>
      <c r="AW123" s="105"/>
      <c r="AX123" s="105"/>
      <c r="AY123" s="105"/>
      <c r="AZ123" s="105"/>
      <c r="BA123" s="105"/>
      <c r="BB123" s="105"/>
      <c r="BC123" s="105"/>
      <c r="BD123" s="105"/>
      <c r="BE123" s="105"/>
      <c r="BF123" s="105"/>
      <c r="BG123" s="105"/>
      <c r="BH123" s="105"/>
      <c r="BI123" s="105"/>
      <c r="BJ123" s="105"/>
      <c r="BK123" s="105"/>
      <c r="BL123" s="105"/>
      <c r="BM123" s="105"/>
      <c r="BN123" s="105"/>
      <c r="BO123" s="105"/>
      <c r="BP123" s="105"/>
      <c r="BQ123" s="105"/>
      <c r="BR123" s="105"/>
      <c r="BS123" s="105"/>
      <c r="BT123" s="105"/>
      <c r="BU123" s="105"/>
      <c r="BV123" s="105"/>
      <c r="BW123" s="105"/>
      <c r="BX123" s="105"/>
      <c r="BY123" s="105"/>
      <c r="BZ123" s="105"/>
      <c r="CA123" s="105"/>
      <c r="CB123" s="105"/>
      <c r="CC123" s="105"/>
      <c r="CD123" s="105"/>
      <c r="CE123" s="105"/>
      <c r="CF123" s="105"/>
      <c r="CG123" s="105"/>
      <c r="CH123" s="105"/>
      <c r="CI123" s="105"/>
      <c r="CJ123" s="105"/>
      <c r="CK123" s="105"/>
      <c r="CL123" s="105"/>
      <c r="CM123" s="105"/>
      <c r="CN123" s="105"/>
      <c r="CO123" s="105"/>
      <c r="CP123" s="105"/>
      <c r="CQ123" s="105"/>
      <c r="CR123" s="105"/>
      <c r="CS123" s="105"/>
      <c r="CT123" s="105"/>
      <c r="CU123" s="105"/>
      <c r="CV123" s="105"/>
      <c r="CW123" s="105"/>
      <c r="CX123" s="105"/>
      <c r="CY123" s="105"/>
      <c r="CZ123" s="104"/>
      <c r="DA123" s="105"/>
      <c r="DB123" s="105"/>
      <c r="DC123" s="105"/>
      <c r="DD123" s="105"/>
      <c r="DE123" s="105"/>
      <c r="DF123" s="105"/>
      <c r="DG123" s="105"/>
      <c r="DH123" s="105"/>
      <c r="DI123" s="105"/>
      <c r="DJ123" s="105"/>
      <c r="DK123" s="104"/>
      <c r="DL123" s="104"/>
    </row>
    <row r="124" ht="12.0" customHeight="1">
      <c r="A124" s="104"/>
      <c r="B124" s="104"/>
      <c r="C124" s="243"/>
      <c r="D124" s="243"/>
      <c r="E124" s="243"/>
      <c r="F124" s="243"/>
      <c r="G124" s="243"/>
      <c r="H124" s="243"/>
      <c r="I124" s="243"/>
      <c r="J124" s="243"/>
      <c r="K124" s="243"/>
      <c r="L124" s="243"/>
      <c r="M124" s="243"/>
      <c r="N124" s="243"/>
      <c r="O124" s="243"/>
      <c r="P124" s="243"/>
      <c r="Q124" s="243"/>
      <c r="R124" s="243"/>
      <c r="S124" s="243"/>
      <c r="T124" s="243"/>
      <c r="U124" s="243"/>
      <c r="V124" s="243"/>
      <c r="W124" s="243"/>
      <c r="X124" s="243"/>
      <c r="Y124" s="243"/>
      <c r="Z124" s="243"/>
      <c r="AA124" s="243"/>
      <c r="AB124" s="243"/>
      <c r="AC124" s="105"/>
      <c r="AD124" s="105"/>
      <c r="AE124" s="105"/>
      <c r="AF124" s="105"/>
      <c r="AG124" s="105"/>
      <c r="AH124" s="105"/>
      <c r="AI124" s="105"/>
      <c r="AJ124" s="105"/>
      <c r="AK124" s="105"/>
      <c r="AL124" s="105"/>
      <c r="AM124" s="105"/>
      <c r="AN124" s="105"/>
      <c r="AO124" s="105"/>
      <c r="AP124" s="105"/>
      <c r="AQ124" s="105"/>
      <c r="AR124" s="105"/>
      <c r="AS124" s="105"/>
      <c r="AT124" s="105"/>
      <c r="AU124" s="105"/>
      <c r="AV124" s="105"/>
      <c r="AW124" s="105"/>
      <c r="AX124" s="105"/>
      <c r="AY124" s="105"/>
      <c r="AZ124" s="105"/>
      <c r="BA124" s="105"/>
      <c r="BB124" s="105"/>
      <c r="BC124" s="105"/>
      <c r="BD124" s="105"/>
      <c r="BE124" s="105"/>
      <c r="BF124" s="105"/>
      <c r="BG124" s="105"/>
      <c r="BH124" s="105"/>
      <c r="BI124" s="105"/>
      <c r="BJ124" s="105"/>
      <c r="BK124" s="105"/>
      <c r="BL124" s="105"/>
      <c r="BM124" s="105"/>
      <c r="BN124" s="105"/>
      <c r="BO124" s="105"/>
      <c r="BP124" s="105"/>
      <c r="BQ124" s="105"/>
      <c r="BR124" s="105"/>
      <c r="BS124" s="105"/>
      <c r="BT124" s="105"/>
      <c r="BU124" s="105"/>
      <c r="BV124" s="105"/>
      <c r="BW124" s="105"/>
      <c r="BX124" s="105"/>
      <c r="BY124" s="105"/>
      <c r="BZ124" s="105"/>
      <c r="CA124" s="105"/>
      <c r="CB124" s="105"/>
      <c r="CC124" s="105"/>
      <c r="CD124" s="105"/>
      <c r="CE124" s="105"/>
      <c r="CF124" s="105"/>
      <c r="CG124" s="105"/>
      <c r="CH124" s="105"/>
      <c r="CI124" s="105"/>
      <c r="CJ124" s="105"/>
      <c r="CK124" s="105"/>
      <c r="CL124" s="105"/>
      <c r="CM124" s="105"/>
      <c r="CN124" s="105"/>
      <c r="CO124" s="105"/>
      <c r="CP124" s="105"/>
      <c r="CQ124" s="105"/>
      <c r="CR124" s="105"/>
      <c r="CS124" s="105"/>
      <c r="CT124" s="105"/>
      <c r="CU124" s="105"/>
      <c r="CV124" s="105"/>
      <c r="CW124" s="105"/>
      <c r="CX124" s="105"/>
      <c r="CY124" s="105"/>
      <c r="CZ124" s="104"/>
      <c r="DA124" s="105"/>
      <c r="DB124" s="105"/>
      <c r="DC124" s="105"/>
      <c r="DD124" s="105"/>
      <c r="DE124" s="105"/>
      <c r="DF124" s="105"/>
      <c r="DG124" s="105"/>
      <c r="DH124" s="105"/>
      <c r="DI124" s="105"/>
      <c r="DJ124" s="105"/>
      <c r="DK124" s="104"/>
      <c r="DL124" s="104"/>
    </row>
    <row r="125" ht="12.0" customHeight="1">
      <c r="A125" s="104"/>
      <c r="B125" s="104"/>
      <c r="C125" s="243"/>
      <c r="D125" s="243"/>
      <c r="E125" s="243"/>
      <c r="F125" s="243"/>
      <c r="G125" s="243"/>
      <c r="H125" s="243"/>
      <c r="I125" s="243"/>
      <c r="J125" s="243"/>
      <c r="K125" s="243"/>
      <c r="L125" s="243"/>
      <c r="M125" s="243"/>
      <c r="N125" s="243"/>
      <c r="O125" s="243"/>
      <c r="P125" s="243"/>
      <c r="Q125" s="243"/>
      <c r="R125" s="243"/>
      <c r="S125" s="243"/>
      <c r="T125" s="243"/>
      <c r="U125" s="243"/>
      <c r="V125" s="243"/>
      <c r="W125" s="243"/>
      <c r="X125" s="243"/>
      <c r="Y125" s="243"/>
      <c r="Z125" s="243"/>
      <c r="AA125" s="243"/>
      <c r="AB125" s="243"/>
      <c r="AC125" s="105"/>
      <c r="AD125" s="105"/>
      <c r="AE125" s="105"/>
      <c r="AF125" s="105"/>
      <c r="AG125" s="105"/>
      <c r="AH125" s="105"/>
      <c r="AI125" s="105"/>
      <c r="AJ125" s="105"/>
      <c r="AK125" s="105"/>
      <c r="AL125" s="105"/>
      <c r="AM125" s="105"/>
      <c r="AN125" s="105"/>
      <c r="AO125" s="105"/>
      <c r="AP125" s="105"/>
      <c r="AQ125" s="105"/>
      <c r="AR125" s="105"/>
      <c r="AS125" s="105"/>
      <c r="AT125" s="105"/>
      <c r="AU125" s="105"/>
      <c r="AV125" s="105"/>
      <c r="AW125" s="105"/>
      <c r="AX125" s="105"/>
      <c r="AY125" s="105"/>
      <c r="AZ125" s="105"/>
      <c r="BA125" s="105"/>
      <c r="BB125" s="105"/>
      <c r="BC125" s="105"/>
      <c r="BD125" s="105"/>
      <c r="BE125" s="105"/>
      <c r="BF125" s="105"/>
      <c r="BG125" s="105"/>
      <c r="BH125" s="105"/>
      <c r="BI125" s="105"/>
      <c r="BJ125" s="105"/>
      <c r="BK125" s="105"/>
      <c r="BL125" s="105"/>
      <c r="BM125" s="105"/>
      <c r="BN125" s="105"/>
      <c r="BO125" s="105"/>
      <c r="BP125" s="105"/>
      <c r="BQ125" s="105"/>
      <c r="BR125" s="105"/>
      <c r="BS125" s="105"/>
      <c r="BT125" s="105"/>
      <c r="BU125" s="105"/>
      <c r="BV125" s="105"/>
      <c r="BW125" s="105"/>
      <c r="BX125" s="105"/>
      <c r="BY125" s="105"/>
      <c r="BZ125" s="105"/>
      <c r="CA125" s="105"/>
      <c r="CB125" s="105"/>
      <c r="CC125" s="105"/>
      <c r="CD125" s="105"/>
      <c r="CE125" s="105"/>
      <c r="CF125" s="105"/>
      <c r="CG125" s="105"/>
      <c r="CH125" s="105"/>
      <c r="CI125" s="105"/>
      <c r="CJ125" s="105"/>
      <c r="CK125" s="105"/>
      <c r="CL125" s="105"/>
      <c r="CM125" s="105"/>
      <c r="CN125" s="105"/>
      <c r="CO125" s="105"/>
      <c r="CP125" s="105"/>
      <c r="CQ125" s="105"/>
      <c r="CR125" s="105"/>
      <c r="CS125" s="105"/>
      <c r="CT125" s="105"/>
      <c r="CU125" s="105"/>
      <c r="CV125" s="105"/>
      <c r="CW125" s="105"/>
      <c r="CX125" s="105"/>
      <c r="CY125" s="105"/>
      <c r="CZ125" s="104"/>
      <c r="DA125" s="105"/>
      <c r="DB125" s="105"/>
      <c r="DC125" s="105"/>
      <c r="DD125" s="105"/>
      <c r="DE125" s="105"/>
      <c r="DF125" s="105"/>
      <c r="DG125" s="105"/>
      <c r="DH125" s="105"/>
      <c r="DI125" s="105"/>
      <c r="DJ125" s="105"/>
      <c r="DK125" s="104"/>
      <c r="DL125" s="104"/>
    </row>
    <row r="126" ht="12.0" customHeight="1">
      <c r="A126" s="104"/>
      <c r="B126" s="104"/>
      <c r="C126" s="243"/>
      <c r="D126" s="243"/>
      <c r="E126" s="243"/>
      <c r="F126" s="243"/>
      <c r="G126" s="243"/>
      <c r="H126" s="243"/>
      <c r="I126" s="243"/>
      <c r="J126" s="243"/>
      <c r="K126" s="243"/>
      <c r="L126" s="243"/>
      <c r="M126" s="243"/>
      <c r="N126" s="243"/>
      <c r="O126" s="243"/>
      <c r="P126" s="243"/>
      <c r="Q126" s="243"/>
      <c r="R126" s="243"/>
      <c r="S126" s="243"/>
      <c r="T126" s="243"/>
      <c r="U126" s="243"/>
      <c r="V126" s="243"/>
      <c r="W126" s="243"/>
      <c r="X126" s="243"/>
      <c r="Y126" s="243"/>
      <c r="Z126" s="243"/>
      <c r="AA126" s="243"/>
      <c r="AB126" s="243"/>
      <c r="AC126" s="105"/>
      <c r="AD126" s="105"/>
      <c r="AE126" s="105"/>
      <c r="AF126" s="105"/>
      <c r="AG126" s="105"/>
      <c r="AH126" s="105"/>
      <c r="AI126" s="105"/>
      <c r="AJ126" s="105"/>
      <c r="AK126" s="105"/>
      <c r="AL126" s="105"/>
      <c r="AM126" s="105"/>
      <c r="AN126" s="105"/>
      <c r="AO126" s="105"/>
      <c r="AP126" s="105"/>
      <c r="AQ126" s="105"/>
      <c r="AR126" s="105"/>
      <c r="AS126" s="105"/>
      <c r="AT126" s="105"/>
      <c r="AU126" s="105"/>
      <c r="AV126" s="105"/>
      <c r="AW126" s="105"/>
      <c r="AX126" s="105"/>
      <c r="AY126" s="105"/>
      <c r="AZ126" s="105"/>
      <c r="BA126" s="105"/>
      <c r="BB126" s="105"/>
      <c r="BC126" s="105"/>
      <c r="BD126" s="105"/>
      <c r="BE126" s="105"/>
      <c r="BF126" s="105"/>
      <c r="BG126" s="105"/>
      <c r="BH126" s="105"/>
      <c r="BI126" s="105"/>
      <c r="BJ126" s="105"/>
      <c r="BK126" s="105"/>
      <c r="BL126" s="105"/>
      <c r="BM126" s="105"/>
      <c r="BN126" s="105"/>
      <c r="BO126" s="105"/>
      <c r="BP126" s="105"/>
      <c r="BQ126" s="105"/>
      <c r="BR126" s="105"/>
      <c r="BS126" s="105"/>
      <c r="BT126" s="105"/>
      <c r="BU126" s="105"/>
      <c r="BV126" s="105"/>
      <c r="BW126" s="105"/>
      <c r="BX126" s="105"/>
      <c r="BY126" s="105"/>
      <c r="BZ126" s="105"/>
      <c r="CA126" s="105"/>
      <c r="CB126" s="105"/>
      <c r="CC126" s="105"/>
      <c r="CD126" s="105"/>
      <c r="CE126" s="105"/>
      <c r="CF126" s="105"/>
      <c r="CG126" s="105"/>
      <c r="CH126" s="105"/>
      <c r="CI126" s="105"/>
      <c r="CJ126" s="105"/>
      <c r="CK126" s="105"/>
      <c r="CL126" s="105"/>
      <c r="CM126" s="105"/>
      <c r="CN126" s="105"/>
      <c r="CO126" s="105"/>
      <c r="CP126" s="105"/>
      <c r="CQ126" s="105"/>
      <c r="CR126" s="105"/>
      <c r="CS126" s="105"/>
      <c r="CT126" s="105"/>
      <c r="CU126" s="105"/>
      <c r="CV126" s="105"/>
      <c r="CW126" s="105"/>
      <c r="CX126" s="105"/>
      <c r="CY126" s="105"/>
      <c r="CZ126" s="104"/>
      <c r="DA126" s="105"/>
      <c r="DB126" s="105"/>
      <c r="DC126" s="105"/>
      <c r="DD126" s="105"/>
      <c r="DE126" s="105"/>
      <c r="DF126" s="105"/>
      <c r="DG126" s="105"/>
      <c r="DH126" s="105"/>
      <c r="DI126" s="105"/>
      <c r="DJ126" s="105"/>
      <c r="DK126" s="104"/>
      <c r="DL126" s="104"/>
    </row>
    <row r="127" ht="12.0" customHeight="1">
      <c r="A127" s="104"/>
      <c r="B127" s="104"/>
      <c r="C127" s="243"/>
      <c r="D127" s="243"/>
      <c r="E127" s="243"/>
      <c r="F127" s="243"/>
      <c r="G127" s="243"/>
      <c r="H127" s="243"/>
      <c r="I127" s="243"/>
      <c r="J127" s="243"/>
      <c r="K127" s="243"/>
      <c r="L127" s="243"/>
      <c r="M127" s="243"/>
      <c r="N127" s="243"/>
      <c r="O127" s="243"/>
      <c r="P127" s="243"/>
      <c r="Q127" s="243"/>
      <c r="R127" s="243"/>
      <c r="S127" s="243"/>
      <c r="T127" s="243"/>
      <c r="U127" s="243"/>
      <c r="V127" s="243"/>
      <c r="W127" s="243"/>
      <c r="X127" s="243"/>
      <c r="Y127" s="243"/>
      <c r="Z127" s="243"/>
      <c r="AA127" s="243"/>
      <c r="AB127" s="243"/>
      <c r="AC127" s="105"/>
      <c r="AD127" s="105"/>
      <c r="AE127" s="105"/>
      <c r="AF127" s="105"/>
      <c r="AG127" s="105"/>
      <c r="AH127" s="105"/>
      <c r="AI127" s="105"/>
      <c r="AJ127" s="105"/>
      <c r="AK127" s="105"/>
      <c r="AL127" s="105"/>
      <c r="AM127" s="105"/>
      <c r="AN127" s="105"/>
      <c r="AO127" s="105"/>
      <c r="AP127" s="105"/>
      <c r="AQ127" s="105"/>
      <c r="AR127" s="105"/>
      <c r="AS127" s="105"/>
      <c r="AT127" s="105"/>
      <c r="AU127" s="105"/>
      <c r="AV127" s="105"/>
      <c r="AW127" s="105"/>
      <c r="AX127" s="105"/>
      <c r="AY127" s="105"/>
      <c r="AZ127" s="105"/>
      <c r="BA127" s="105"/>
      <c r="BB127" s="105"/>
      <c r="BC127" s="105"/>
      <c r="BD127" s="105"/>
      <c r="BE127" s="105"/>
      <c r="BF127" s="105"/>
      <c r="BG127" s="105"/>
      <c r="BH127" s="105"/>
      <c r="BI127" s="105"/>
      <c r="BJ127" s="105"/>
      <c r="BK127" s="105"/>
      <c r="BL127" s="105"/>
      <c r="BM127" s="105"/>
      <c r="BN127" s="105"/>
      <c r="BO127" s="105"/>
      <c r="BP127" s="105"/>
      <c r="BQ127" s="105"/>
      <c r="BR127" s="105"/>
      <c r="BS127" s="105"/>
      <c r="BT127" s="105"/>
      <c r="BU127" s="105"/>
      <c r="BV127" s="105"/>
      <c r="BW127" s="105"/>
      <c r="BX127" s="105"/>
      <c r="BY127" s="105"/>
      <c r="BZ127" s="105"/>
      <c r="CA127" s="105"/>
      <c r="CB127" s="105"/>
      <c r="CC127" s="105"/>
      <c r="CD127" s="105"/>
      <c r="CE127" s="105"/>
      <c r="CF127" s="105"/>
      <c r="CG127" s="105"/>
      <c r="CH127" s="105"/>
      <c r="CI127" s="105"/>
      <c r="CJ127" s="105"/>
      <c r="CK127" s="105"/>
      <c r="CL127" s="105"/>
      <c r="CM127" s="105"/>
      <c r="CN127" s="105"/>
      <c r="CO127" s="105"/>
      <c r="CP127" s="105"/>
      <c r="CQ127" s="105"/>
      <c r="CR127" s="105"/>
      <c r="CS127" s="105"/>
      <c r="CT127" s="105"/>
      <c r="CU127" s="105"/>
      <c r="CV127" s="105"/>
      <c r="CW127" s="105"/>
      <c r="CX127" s="105"/>
      <c r="CY127" s="105"/>
      <c r="CZ127" s="104"/>
      <c r="DA127" s="105"/>
      <c r="DB127" s="105"/>
      <c r="DC127" s="105"/>
      <c r="DD127" s="105"/>
      <c r="DE127" s="105"/>
      <c r="DF127" s="105"/>
      <c r="DG127" s="105"/>
      <c r="DH127" s="105"/>
      <c r="DI127" s="105"/>
      <c r="DJ127" s="105"/>
      <c r="DK127" s="104"/>
      <c r="DL127" s="104"/>
    </row>
    <row r="128" ht="12.0" customHeight="1">
      <c r="A128" s="104"/>
      <c r="B128" s="104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  <c r="R128" s="243"/>
      <c r="S128" s="243"/>
      <c r="T128" s="243"/>
      <c r="U128" s="243"/>
      <c r="V128" s="243"/>
      <c r="W128" s="243"/>
      <c r="X128" s="243"/>
      <c r="Y128" s="243"/>
      <c r="Z128" s="243"/>
      <c r="AA128" s="243"/>
      <c r="AB128" s="243"/>
      <c r="AC128" s="105"/>
      <c r="AD128" s="105"/>
      <c r="AE128" s="105"/>
      <c r="AF128" s="105"/>
      <c r="AG128" s="105"/>
      <c r="AH128" s="105"/>
      <c r="AI128" s="105"/>
      <c r="AJ128" s="105"/>
      <c r="AK128" s="105"/>
      <c r="AL128" s="105"/>
      <c r="AM128" s="105"/>
      <c r="AN128" s="105"/>
      <c r="AO128" s="105"/>
      <c r="AP128" s="105"/>
      <c r="AQ128" s="105"/>
      <c r="AR128" s="105"/>
      <c r="AS128" s="105"/>
      <c r="AT128" s="105"/>
      <c r="AU128" s="105"/>
      <c r="AV128" s="105"/>
      <c r="AW128" s="105"/>
      <c r="AX128" s="105"/>
      <c r="AY128" s="105"/>
      <c r="AZ128" s="105"/>
      <c r="BA128" s="105"/>
      <c r="BB128" s="105"/>
      <c r="BC128" s="105"/>
      <c r="BD128" s="105"/>
      <c r="BE128" s="105"/>
      <c r="BF128" s="105"/>
      <c r="BG128" s="105"/>
      <c r="BH128" s="105"/>
      <c r="BI128" s="105"/>
      <c r="BJ128" s="105"/>
      <c r="BK128" s="105"/>
      <c r="BL128" s="105"/>
      <c r="BM128" s="105"/>
      <c r="BN128" s="105"/>
      <c r="BO128" s="105"/>
      <c r="BP128" s="105"/>
      <c r="BQ128" s="105"/>
      <c r="BR128" s="105"/>
      <c r="BS128" s="105"/>
      <c r="BT128" s="105"/>
      <c r="BU128" s="105"/>
      <c r="BV128" s="105"/>
      <c r="BW128" s="105"/>
      <c r="BX128" s="105"/>
      <c r="BY128" s="105"/>
      <c r="BZ128" s="105"/>
      <c r="CA128" s="105"/>
      <c r="CB128" s="105"/>
      <c r="CC128" s="105"/>
      <c r="CD128" s="105"/>
      <c r="CE128" s="105"/>
      <c r="CF128" s="105"/>
      <c r="CG128" s="105"/>
      <c r="CH128" s="105"/>
      <c r="CI128" s="105"/>
      <c r="CJ128" s="105"/>
      <c r="CK128" s="105"/>
      <c r="CL128" s="105"/>
      <c r="CM128" s="105"/>
      <c r="CN128" s="105"/>
      <c r="CO128" s="105"/>
      <c r="CP128" s="105"/>
      <c r="CQ128" s="105"/>
      <c r="CR128" s="105"/>
      <c r="CS128" s="105"/>
      <c r="CT128" s="105"/>
      <c r="CU128" s="105"/>
      <c r="CV128" s="105"/>
      <c r="CW128" s="105"/>
      <c r="CX128" s="105"/>
      <c r="CY128" s="105"/>
      <c r="CZ128" s="104"/>
      <c r="DA128" s="105"/>
      <c r="DB128" s="105"/>
      <c r="DC128" s="105"/>
      <c r="DD128" s="105"/>
      <c r="DE128" s="105"/>
      <c r="DF128" s="105"/>
      <c r="DG128" s="105"/>
      <c r="DH128" s="105"/>
      <c r="DI128" s="105"/>
      <c r="DJ128" s="105"/>
      <c r="DK128" s="104"/>
      <c r="DL128" s="104"/>
    </row>
    <row r="129" ht="12.0" customHeight="1">
      <c r="A129" s="104"/>
      <c r="B129" s="104"/>
      <c r="C129" s="243"/>
      <c r="D129" s="243"/>
      <c r="E129" s="243"/>
      <c r="F129" s="243"/>
      <c r="G129" s="243"/>
      <c r="H129" s="243"/>
      <c r="I129" s="243"/>
      <c r="J129" s="243"/>
      <c r="K129" s="243"/>
      <c r="L129" s="243"/>
      <c r="M129" s="243"/>
      <c r="N129" s="243"/>
      <c r="O129" s="243"/>
      <c r="P129" s="243"/>
      <c r="Q129" s="243"/>
      <c r="R129" s="243"/>
      <c r="S129" s="243"/>
      <c r="T129" s="243"/>
      <c r="U129" s="243"/>
      <c r="V129" s="243"/>
      <c r="W129" s="243"/>
      <c r="X129" s="243"/>
      <c r="Y129" s="243"/>
      <c r="Z129" s="243"/>
      <c r="AA129" s="243"/>
      <c r="AB129" s="243"/>
      <c r="AC129" s="105"/>
      <c r="AD129" s="105"/>
      <c r="AE129" s="105"/>
      <c r="AF129" s="105"/>
      <c r="AG129" s="105"/>
      <c r="AH129" s="105"/>
      <c r="AI129" s="105"/>
      <c r="AJ129" s="105"/>
      <c r="AK129" s="105"/>
      <c r="AL129" s="105"/>
      <c r="AM129" s="105"/>
      <c r="AN129" s="105"/>
      <c r="AO129" s="105"/>
      <c r="AP129" s="105"/>
      <c r="AQ129" s="105"/>
      <c r="AR129" s="105"/>
      <c r="AS129" s="105"/>
      <c r="AT129" s="105"/>
      <c r="AU129" s="105"/>
      <c r="AV129" s="105"/>
      <c r="AW129" s="105"/>
      <c r="AX129" s="105"/>
      <c r="AY129" s="105"/>
      <c r="AZ129" s="105"/>
      <c r="BA129" s="105"/>
      <c r="BB129" s="105"/>
      <c r="BC129" s="105"/>
      <c r="BD129" s="105"/>
      <c r="BE129" s="105"/>
      <c r="BF129" s="105"/>
      <c r="BG129" s="105"/>
      <c r="BH129" s="105"/>
      <c r="BI129" s="105"/>
      <c r="BJ129" s="105"/>
      <c r="BK129" s="105"/>
      <c r="BL129" s="105"/>
      <c r="BM129" s="105"/>
      <c r="BN129" s="105"/>
      <c r="BO129" s="105"/>
      <c r="BP129" s="105"/>
      <c r="BQ129" s="105"/>
      <c r="BR129" s="105"/>
      <c r="BS129" s="105"/>
      <c r="BT129" s="105"/>
      <c r="BU129" s="105"/>
      <c r="BV129" s="105"/>
      <c r="BW129" s="105"/>
      <c r="BX129" s="105"/>
      <c r="BY129" s="105"/>
      <c r="BZ129" s="105"/>
      <c r="CA129" s="105"/>
      <c r="CB129" s="105"/>
      <c r="CC129" s="105"/>
      <c r="CD129" s="105"/>
      <c r="CE129" s="105"/>
      <c r="CF129" s="105"/>
      <c r="CG129" s="105"/>
      <c r="CH129" s="105"/>
      <c r="CI129" s="105"/>
      <c r="CJ129" s="105"/>
      <c r="CK129" s="105"/>
      <c r="CL129" s="105"/>
      <c r="CM129" s="105"/>
      <c r="CN129" s="105"/>
      <c r="CO129" s="105"/>
      <c r="CP129" s="105"/>
      <c r="CQ129" s="105"/>
      <c r="CR129" s="105"/>
      <c r="CS129" s="105"/>
      <c r="CT129" s="105"/>
      <c r="CU129" s="105"/>
      <c r="CV129" s="105"/>
      <c r="CW129" s="105"/>
      <c r="CX129" s="105"/>
      <c r="CY129" s="105"/>
      <c r="CZ129" s="104"/>
      <c r="DA129" s="105"/>
      <c r="DB129" s="105"/>
      <c r="DC129" s="105"/>
      <c r="DD129" s="105"/>
      <c r="DE129" s="105"/>
      <c r="DF129" s="105"/>
      <c r="DG129" s="105"/>
      <c r="DH129" s="105"/>
      <c r="DI129" s="105"/>
      <c r="DJ129" s="105"/>
      <c r="DK129" s="104"/>
      <c r="DL129" s="104"/>
    </row>
    <row r="130" ht="12.0" customHeight="1">
      <c r="A130" s="104"/>
      <c r="B130" s="104"/>
      <c r="C130" s="243"/>
      <c r="D130" s="243"/>
      <c r="E130" s="243"/>
      <c r="F130" s="243"/>
      <c r="G130" s="243"/>
      <c r="H130" s="243"/>
      <c r="I130" s="243"/>
      <c r="J130" s="243"/>
      <c r="K130" s="243"/>
      <c r="L130" s="243"/>
      <c r="M130" s="243"/>
      <c r="N130" s="243"/>
      <c r="O130" s="243"/>
      <c r="P130" s="243"/>
      <c r="Q130" s="243"/>
      <c r="R130" s="243"/>
      <c r="S130" s="243"/>
      <c r="T130" s="243"/>
      <c r="U130" s="243"/>
      <c r="V130" s="243"/>
      <c r="W130" s="243"/>
      <c r="X130" s="243"/>
      <c r="Y130" s="243"/>
      <c r="Z130" s="243"/>
      <c r="AA130" s="243"/>
      <c r="AB130" s="243"/>
      <c r="AC130" s="105"/>
      <c r="AD130" s="105"/>
      <c r="AE130" s="105"/>
      <c r="AF130" s="105"/>
      <c r="AG130" s="105"/>
      <c r="AH130" s="105"/>
      <c r="AI130" s="105"/>
      <c r="AJ130" s="105"/>
      <c r="AK130" s="105"/>
      <c r="AL130" s="105"/>
      <c r="AM130" s="105"/>
      <c r="AN130" s="105"/>
      <c r="AO130" s="105"/>
      <c r="AP130" s="105"/>
      <c r="AQ130" s="105"/>
      <c r="AR130" s="105"/>
      <c r="AS130" s="105"/>
      <c r="AT130" s="105"/>
      <c r="AU130" s="105"/>
      <c r="AV130" s="105"/>
      <c r="AW130" s="105"/>
      <c r="AX130" s="105"/>
      <c r="AY130" s="105"/>
      <c r="AZ130" s="105"/>
      <c r="BA130" s="105"/>
      <c r="BB130" s="105"/>
      <c r="BC130" s="105"/>
      <c r="BD130" s="105"/>
      <c r="BE130" s="105"/>
      <c r="BF130" s="105"/>
      <c r="BG130" s="105"/>
      <c r="BH130" s="105"/>
      <c r="BI130" s="105"/>
      <c r="BJ130" s="105"/>
      <c r="BK130" s="105"/>
      <c r="BL130" s="105"/>
      <c r="BM130" s="105"/>
      <c r="BN130" s="105"/>
      <c r="BO130" s="105"/>
      <c r="BP130" s="105"/>
      <c r="BQ130" s="105"/>
      <c r="BR130" s="105"/>
      <c r="BS130" s="105"/>
      <c r="BT130" s="105"/>
      <c r="BU130" s="105"/>
      <c r="BV130" s="105"/>
      <c r="BW130" s="105"/>
      <c r="BX130" s="105"/>
      <c r="BY130" s="105"/>
      <c r="BZ130" s="105"/>
      <c r="CA130" s="105"/>
      <c r="CB130" s="105"/>
      <c r="CC130" s="105"/>
      <c r="CD130" s="105"/>
      <c r="CE130" s="105"/>
      <c r="CF130" s="105"/>
      <c r="CG130" s="105"/>
      <c r="CH130" s="105"/>
      <c r="CI130" s="105"/>
      <c r="CJ130" s="105"/>
      <c r="CK130" s="105"/>
      <c r="CL130" s="105"/>
      <c r="CM130" s="105"/>
      <c r="CN130" s="105"/>
      <c r="CO130" s="105"/>
      <c r="CP130" s="105"/>
      <c r="CQ130" s="105"/>
      <c r="CR130" s="105"/>
      <c r="CS130" s="105"/>
      <c r="CT130" s="105"/>
      <c r="CU130" s="105"/>
      <c r="CV130" s="105"/>
      <c r="CW130" s="105"/>
      <c r="CX130" s="105"/>
      <c r="CY130" s="105"/>
      <c r="CZ130" s="104"/>
      <c r="DA130" s="105"/>
      <c r="DB130" s="105"/>
      <c r="DC130" s="105"/>
      <c r="DD130" s="105"/>
      <c r="DE130" s="105"/>
      <c r="DF130" s="105"/>
      <c r="DG130" s="105"/>
      <c r="DH130" s="105"/>
      <c r="DI130" s="105"/>
      <c r="DJ130" s="105"/>
      <c r="DK130" s="104"/>
      <c r="DL130" s="104"/>
    </row>
    <row r="131" ht="12.0" customHeight="1">
      <c r="A131" s="104"/>
      <c r="B131" s="104"/>
      <c r="C131" s="243"/>
      <c r="D131" s="243"/>
      <c r="E131" s="243"/>
      <c r="F131" s="243"/>
      <c r="G131" s="243"/>
      <c r="H131" s="243"/>
      <c r="I131" s="243"/>
      <c r="J131" s="243"/>
      <c r="K131" s="243"/>
      <c r="L131" s="243"/>
      <c r="M131" s="243"/>
      <c r="N131" s="243"/>
      <c r="O131" s="243"/>
      <c r="P131" s="243"/>
      <c r="Q131" s="243"/>
      <c r="R131" s="243"/>
      <c r="S131" s="243"/>
      <c r="T131" s="243"/>
      <c r="U131" s="243"/>
      <c r="V131" s="243"/>
      <c r="W131" s="243"/>
      <c r="X131" s="243"/>
      <c r="Y131" s="243"/>
      <c r="Z131" s="243"/>
      <c r="AA131" s="243"/>
      <c r="AB131" s="243"/>
      <c r="AC131" s="105"/>
      <c r="AD131" s="105"/>
      <c r="AE131" s="105"/>
      <c r="AF131" s="105"/>
      <c r="AG131" s="105"/>
      <c r="AH131" s="105"/>
      <c r="AI131" s="105"/>
      <c r="AJ131" s="105"/>
      <c r="AK131" s="105"/>
      <c r="AL131" s="105"/>
      <c r="AM131" s="105"/>
      <c r="AN131" s="105"/>
      <c r="AO131" s="105"/>
      <c r="AP131" s="105"/>
      <c r="AQ131" s="105"/>
      <c r="AR131" s="105"/>
      <c r="AS131" s="105"/>
      <c r="AT131" s="105"/>
      <c r="AU131" s="105"/>
      <c r="AV131" s="105"/>
      <c r="AW131" s="105"/>
      <c r="AX131" s="105"/>
      <c r="AY131" s="105"/>
      <c r="AZ131" s="105"/>
      <c r="BA131" s="105"/>
      <c r="BB131" s="105"/>
      <c r="BC131" s="105"/>
      <c r="BD131" s="105"/>
      <c r="BE131" s="105"/>
      <c r="BF131" s="105"/>
      <c r="BG131" s="105"/>
      <c r="BH131" s="105"/>
      <c r="BI131" s="105"/>
      <c r="BJ131" s="105"/>
      <c r="BK131" s="105"/>
      <c r="BL131" s="105"/>
      <c r="BM131" s="105"/>
      <c r="BN131" s="105"/>
      <c r="BO131" s="105"/>
      <c r="BP131" s="105"/>
      <c r="BQ131" s="105"/>
      <c r="BR131" s="105"/>
      <c r="BS131" s="105"/>
      <c r="BT131" s="105"/>
      <c r="BU131" s="105"/>
      <c r="BV131" s="105"/>
      <c r="BW131" s="105"/>
      <c r="BX131" s="105"/>
      <c r="BY131" s="105"/>
      <c r="BZ131" s="105"/>
      <c r="CA131" s="105"/>
      <c r="CB131" s="105"/>
      <c r="CC131" s="105"/>
      <c r="CD131" s="105"/>
      <c r="CE131" s="105"/>
      <c r="CF131" s="105"/>
      <c r="CG131" s="105"/>
      <c r="CH131" s="105"/>
      <c r="CI131" s="105"/>
      <c r="CJ131" s="105"/>
      <c r="CK131" s="105"/>
      <c r="CL131" s="105"/>
      <c r="CM131" s="105"/>
      <c r="CN131" s="105"/>
      <c r="CO131" s="105"/>
      <c r="CP131" s="105"/>
      <c r="CQ131" s="105"/>
      <c r="CR131" s="105"/>
      <c r="CS131" s="105"/>
      <c r="CT131" s="105"/>
      <c r="CU131" s="105"/>
      <c r="CV131" s="105"/>
      <c r="CW131" s="105"/>
      <c r="CX131" s="105"/>
      <c r="CY131" s="105"/>
      <c r="CZ131" s="104"/>
      <c r="DA131" s="105"/>
      <c r="DB131" s="105"/>
      <c r="DC131" s="105"/>
      <c r="DD131" s="105"/>
      <c r="DE131" s="105"/>
      <c r="DF131" s="105"/>
      <c r="DG131" s="105"/>
      <c r="DH131" s="105"/>
      <c r="DI131" s="105"/>
      <c r="DJ131" s="105"/>
      <c r="DK131" s="104"/>
      <c r="DL131" s="104"/>
    </row>
    <row r="132" ht="12.0" customHeight="1">
      <c r="A132" s="104"/>
      <c r="B132" s="104"/>
      <c r="C132" s="243"/>
      <c r="D132" s="243"/>
      <c r="E132" s="243"/>
      <c r="F132" s="243"/>
      <c r="G132" s="243"/>
      <c r="H132" s="243"/>
      <c r="I132" s="243"/>
      <c r="J132" s="243"/>
      <c r="K132" s="243"/>
      <c r="L132" s="243"/>
      <c r="M132" s="243"/>
      <c r="N132" s="243"/>
      <c r="O132" s="243"/>
      <c r="P132" s="243"/>
      <c r="Q132" s="243"/>
      <c r="R132" s="243"/>
      <c r="S132" s="243"/>
      <c r="T132" s="243"/>
      <c r="U132" s="243"/>
      <c r="V132" s="243"/>
      <c r="W132" s="243"/>
      <c r="X132" s="243"/>
      <c r="Y132" s="243"/>
      <c r="Z132" s="243"/>
      <c r="AA132" s="243"/>
      <c r="AB132" s="243"/>
      <c r="AC132" s="105"/>
      <c r="AD132" s="105"/>
      <c r="AE132" s="105"/>
      <c r="AF132" s="105"/>
      <c r="AG132" s="105"/>
      <c r="AH132" s="105"/>
      <c r="AI132" s="105"/>
      <c r="AJ132" s="105"/>
      <c r="AK132" s="105"/>
      <c r="AL132" s="105"/>
      <c r="AM132" s="105"/>
      <c r="AN132" s="105"/>
      <c r="AO132" s="105"/>
      <c r="AP132" s="105"/>
      <c r="AQ132" s="105"/>
      <c r="AR132" s="105"/>
      <c r="AS132" s="105"/>
      <c r="AT132" s="105"/>
      <c r="AU132" s="105"/>
      <c r="AV132" s="105"/>
      <c r="AW132" s="105"/>
      <c r="AX132" s="105"/>
      <c r="AY132" s="105"/>
      <c r="AZ132" s="105"/>
      <c r="BA132" s="105"/>
      <c r="BB132" s="105"/>
      <c r="BC132" s="105"/>
      <c r="BD132" s="105"/>
      <c r="BE132" s="105"/>
      <c r="BF132" s="105"/>
      <c r="BG132" s="105"/>
      <c r="BH132" s="105"/>
      <c r="BI132" s="105"/>
      <c r="BJ132" s="105"/>
      <c r="BK132" s="105"/>
      <c r="BL132" s="105"/>
      <c r="BM132" s="105"/>
      <c r="BN132" s="105"/>
      <c r="BO132" s="105"/>
      <c r="BP132" s="105"/>
      <c r="BQ132" s="105"/>
      <c r="BR132" s="105"/>
      <c r="BS132" s="105"/>
      <c r="BT132" s="105"/>
      <c r="BU132" s="105"/>
      <c r="BV132" s="105"/>
      <c r="BW132" s="105"/>
      <c r="BX132" s="105"/>
      <c r="BY132" s="105"/>
      <c r="BZ132" s="105"/>
      <c r="CA132" s="105"/>
      <c r="CB132" s="105"/>
      <c r="CC132" s="105"/>
      <c r="CD132" s="105"/>
      <c r="CE132" s="105"/>
      <c r="CF132" s="105"/>
      <c r="CG132" s="105"/>
      <c r="CH132" s="105"/>
      <c r="CI132" s="105"/>
      <c r="CJ132" s="105"/>
      <c r="CK132" s="105"/>
      <c r="CL132" s="105"/>
      <c r="CM132" s="105"/>
      <c r="CN132" s="105"/>
      <c r="CO132" s="105"/>
      <c r="CP132" s="105"/>
      <c r="CQ132" s="105"/>
      <c r="CR132" s="105"/>
      <c r="CS132" s="105"/>
      <c r="CT132" s="105"/>
      <c r="CU132" s="105"/>
      <c r="CV132" s="105"/>
      <c r="CW132" s="105"/>
      <c r="CX132" s="105"/>
      <c r="CY132" s="105"/>
      <c r="CZ132" s="104"/>
      <c r="DA132" s="105"/>
      <c r="DB132" s="105"/>
      <c r="DC132" s="105"/>
      <c r="DD132" s="105"/>
      <c r="DE132" s="105"/>
      <c r="DF132" s="105"/>
      <c r="DG132" s="105"/>
      <c r="DH132" s="105"/>
      <c r="DI132" s="105"/>
      <c r="DJ132" s="105"/>
      <c r="DK132" s="104"/>
      <c r="DL132" s="104"/>
    </row>
    <row r="133" ht="12.0" customHeight="1">
      <c r="A133" s="104"/>
      <c r="B133" s="104"/>
      <c r="C133" s="243"/>
      <c r="D133" s="243"/>
      <c r="E133" s="243"/>
      <c r="F133" s="243"/>
      <c r="G133" s="243"/>
      <c r="H133" s="243"/>
      <c r="I133" s="243"/>
      <c r="J133" s="243"/>
      <c r="K133" s="243"/>
      <c r="L133" s="243"/>
      <c r="M133" s="243"/>
      <c r="N133" s="243"/>
      <c r="O133" s="243"/>
      <c r="P133" s="243"/>
      <c r="Q133" s="243"/>
      <c r="R133" s="243"/>
      <c r="S133" s="243"/>
      <c r="T133" s="243"/>
      <c r="U133" s="243"/>
      <c r="V133" s="243"/>
      <c r="W133" s="243"/>
      <c r="X133" s="243"/>
      <c r="Y133" s="243"/>
      <c r="Z133" s="243"/>
      <c r="AA133" s="243"/>
      <c r="AB133" s="243"/>
      <c r="AC133" s="105"/>
      <c r="AD133" s="105"/>
      <c r="AE133" s="105"/>
      <c r="AF133" s="105"/>
      <c r="AG133" s="105"/>
      <c r="AH133" s="105"/>
      <c r="AI133" s="105"/>
      <c r="AJ133" s="105"/>
      <c r="AK133" s="105"/>
      <c r="AL133" s="105"/>
      <c r="AM133" s="105"/>
      <c r="AN133" s="105"/>
      <c r="AO133" s="105"/>
      <c r="AP133" s="105"/>
      <c r="AQ133" s="105"/>
      <c r="AR133" s="105"/>
      <c r="AS133" s="105"/>
      <c r="AT133" s="105"/>
      <c r="AU133" s="105"/>
      <c r="AV133" s="105"/>
      <c r="AW133" s="105"/>
      <c r="AX133" s="105"/>
      <c r="AY133" s="105"/>
      <c r="AZ133" s="105"/>
      <c r="BA133" s="105"/>
      <c r="BB133" s="105"/>
      <c r="BC133" s="105"/>
      <c r="BD133" s="105"/>
      <c r="BE133" s="105"/>
      <c r="BF133" s="105"/>
      <c r="BG133" s="105"/>
      <c r="BH133" s="105"/>
      <c r="BI133" s="105"/>
      <c r="BJ133" s="105"/>
      <c r="BK133" s="105"/>
      <c r="BL133" s="105"/>
      <c r="BM133" s="105"/>
      <c r="BN133" s="105"/>
      <c r="BO133" s="105"/>
      <c r="BP133" s="105"/>
      <c r="BQ133" s="105"/>
      <c r="BR133" s="105"/>
      <c r="BS133" s="105"/>
      <c r="BT133" s="105"/>
      <c r="BU133" s="105"/>
      <c r="BV133" s="105"/>
      <c r="BW133" s="105"/>
      <c r="BX133" s="105"/>
      <c r="BY133" s="105"/>
      <c r="BZ133" s="105"/>
      <c r="CA133" s="105"/>
      <c r="CB133" s="105"/>
      <c r="CC133" s="105"/>
      <c r="CD133" s="105"/>
      <c r="CE133" s="105"/>
      <c r="CF133" s="105"/>
      <c r="CG133" s="105"/>
      <c r="CH133" s="105"/>
      <c r="CI133" s="105"/>
      <c r="CJ133" s="105"/>
      <c r="CK133" s="105"/>
      <c r="CL133" s="105"/>
      <c r="CM133" s="105"/>
      <c r="CN133" s="105"/>
      <c r="CO133" s="105"/>
      <c r="CP133" s="105"/>
      <c r="CQ133" s="105"/>
      <c r="CR133" s="105"/>
      <c r="CS133" s="105"/>
      <c r="CT133" s="105"/>
      <c r="CU133" s="105"/>
      <c r="CV133" s="105"/>
      <c r="CW133" s="105"/>
      <c r="CX133" s="105"/>
      <c r="CY133" s="105"/>
      <c r="CZ133" s="104"/>
      <c r="DA133" s="105"/>
      <c r="DB133" s="105"/>
      <c r="DC133" s="105"/>
      <c r="DD133" s="105"/>
      <c r="DE133" s="105"/>
      <c r="DF133" s="105"/>
      <c r="DG133" s="105"/>
      <c r="DH133" s="105"/>
      <c r="DI133" s="105"/>
      <c r="DJ133" s="105"/>
      <c r="DK133" s="104"/>
      <c r="DL133" s="104"/>
    </row>
    <row r="134" ht="12.0" customHeight="1">
      <c r="A134" s="104"/>
      <c r="B134" s="104"/>
      <c r="C134" s="243"/>
      <c r="D134" s="243"/>
      <c r="E134" s="243"/>
      <c r="F134" s="243"/>
      <c r="G134" s="243"/>
      <c r="H134" s="243"/>
      <c r="I134" s="243"/>
      <c r="J134" s="243"/>
      <c r="K134" s="243"/>
      <c r="L134" s="243"/>
      <c r="M134" s="243"/>
      <c r="N134" s="243"/>
      <c r="O134" s="243"/>
      <c r="P134" s="243"/>
      <c r="Q134" s="243"/>
      <c r="R134" s="243"/>
      <c r="S134" s="243"/>
      <c r="T134" s="243"/>
      <c r="U134" s="243"/>
      <c r="V134" s="243"/>
      <c r="W134" s="243"/>
      <c r="X134" s="243"/>
      <c r="Y134" s="243"/>
      <c r="Z134" s="243"/>
      <c r="AA134" s="243"/>
      <c r="AB134" s="243"/>
      <c r="AC134" s="105"/>
      <c r="AD134" s="105"/>
      <c r="AE134" s="105"/>
      <c r="AF134" s="105"/>
      <c r="AG134" s="105"/>
      <c r="AH134" s="105"/>
      <c r="AI134" s="105"/>
      <c r="AJ134" s="105"/>
      <c r="AK134" s="105"/>
      <c r="AL134" s="105"/>
      <c r="AM134" s="105"/>
      <c r="AN134" s="105"/>
      <c r="AO134" s="105"/>
      <c r="AP134" s="105"/>
      <c r="AQ134" s="105"/>
      <c r="AR134" s="105"/>
      <c r="AS134" s="105"/>
      <c r="AT134" s="105"/>
      <c r="AU134" s="105"/>
      <c r="AV134" s="105"/>
      <c r="AW134" s="105"/>
      <c r="AX134" s="105"/>
      <c r="AY134" s="105"/>
      <c r="AZ134" s="105"/>
      <c r="BA134" s="105"/>
      <c r="BB134" s="105"/>
      <c r="BC134" s="105"/>
      <c r="BD134" s="105"/>
      <c r="BE134" s="105"/>
      <c r="BF134" s="105"/>
      <c r="BG134" s="105"/>
      <c r="BH134" s="105"/>
      <c r="BI134" s="105"/>
      <c r="BJ134" s="105"/>
      <c r="BK134" s="105"/>
      <c r="BL134" s="105"/>
      <c r="BM134" s="105"/>
      <c r="BN134" s="105"/>
      <c r="BO134" s="105"/>
      <c r="BP134" s="105"/>
      <c r="BQ134" s="105"/>
      <c r="BR134" s="105"/>
      <c r="BS134" s="105"/>
      <c r="BT134" s="105"/>
      <c r="BU134" s="105"/>
      <c r="BV134" s="105"/>
      <c r="BW134" s="105"/>
      <c r="BX134" s="105"/>
      <c r="BY134" s="105"/>
      <c r="BZ134" s="105"/>
      <c r="CA134" s="105"/>
      <c r="CB134" s="105"/>
      <c r="CC134" s="105"/>
      <c r="CD134" s="105"/>
      <c r="CE134" s="105"/>
      <c r="CF134" s="105"/>
      <c r="CG134" s="105"/>
      <c r="CH134" s="105"/>
      <c r="CI134" s="105"/>
      <c r="CJ134" s="105"/>
      <c r="CK134" s="105"/>
      <c r="CL134" s="105"/>
      <c r="CM134" s="105"/>
      <c r="CN134" s="105"/>
      <c r="CO134" s="105"/>
      <c r="CP134" s="105"/>
      <c r="CQ134" s="105"/>
      <c r="CR134" s="105"/>
      <c r="CS134" s="105"/>
      <c r="CT134" s="105"/>
      <c r="CU134" s="105"/>
      <c r="CV134" s="105"/>
      <c r="CW134" s="105"/>
      <c r="CX134" s="105"/>
      <c r="CY134" s="105"/>
      <c r="CZ134" s="104"/>
      <c r="DA134" s="105"/>
      <c r="DB134" s="105"/>
      <c r="DC134" s="105"/>
      <c r="DD134" s="105"/>
      <c r="DE134" s="105"/>
      <c r="DF134" s="105"/>
      <c r="DG134" s="105"/>
      <c r="DH134" s="105"/>
      <c r="DI134" s="105"/>
      <c r="DJ134" s="105"/>
      <c r="DK134" s="104"/>
      <c r="DL134" s="104"/>
    </row>
    <row r="135" ht="12.0" customHeight="1">
      <c r="A135" s="104"/>
      <c r="B135" s="104"/>
      <c r="C135" s="243"/>
      <c r="D135" s="243"/>
      <c r="E135" s="243"/>
      <c r="F135" s="243"/>
      <c r="G135" s="243"/>
      <c r="H135" s="243"/>
      <c r="I135" s="243"/>
      <c r="J135" s="243"/>
      <c r="K135" s="243"/>
      <c r="L135" s="243"/>
      <c r="M135" s="243"/>
      <c r="N135" s="243"/>
      <c r="O135" s="243"/>
      <c r="P135" s="243"/>
      <c r="Q135" s="243"/>
      <c r="R135" s="243"/>
      <c r="S135" s="243"/>
      <c r="T135" s="243"/>
      <c r="U135" s="243"/>
      <c r="V135" s="243"/>
      <c r="W135" s="243"/>
      <c r="X135" s="243"/>
      <c r="Y135" s="243"/>
      <c r="Z135" s="243"/>
      <c r="AA135" s="243"/>
      <c r="AB135" s="243"/>
      <c r="AC135" s="105"/>
      <c r="AD135" s="105"/>
      <c r="AE135" s="105"/>
      <c r="AF135" s="105"/>
      <c r="AG135" s="105"/>
      <c r="AH135" s="105"/>
      <c r="AI135" s="105"/>
      <c r="AJ135" s="105"/>
      <c r="AK135" s="105"/>
      <c r="AL135" s="105"/>
      <c r="AM135" s="105"/>
      <c r="AN135" s="105"/>
      <c r="AO135" s="105"/>
      <c r="AP135" s="105"/>
      <c r="AQ135" s="105"/>
      <c r="AR135" s="105"/>
      <c r="AS135" s="105"/>
      <c r="AT135" s="105"/>
      <c r="AU135" s="105"/>
      <c r="AV135" s="105"/>
      <c r="AW135" s="105"/>
      <c r="AX135" s="105"/>
      <c r="AY135" s="105"/>
      <c r="AZ135" s="105"/>
      <c r="BA135" s="105"/>
      <c r="BB135" s="105"/>
      <c r="BC135" s="105"/>
      <c r="BD135" s="105"/>
      <c r="BE135" s="105"/>
      <c r="BF135" s="105"/>
      <c r="BG135" s="105"/>
      <c r="BH135" s="105"/>
      <c r="BI135" s="105"/>
      <c r="BJ135" s="105"/>
      <c r="BK135" s="105"/>
      <c r="BL135" s="105"/>
      <c r="BM135" s="105"/>
      <c r="BN135" s="105"/>
      <c r="BO135" s="105"/>
      <c r="BP135" s="105"/>
      <c r="BQ135" s="105"/>
      <c r="BR135" s="105"/>
      <c r="BS135" s="105"/>
      <c r="BT135" s="105"/>
      <c r="BU135" s="105"/>
      <c r="BV135" s="105"/>
      <c r="BW135" s="105"/>
      <c r="BX135" s="105"/>
      <c r="BY135" s="105"/>
      <c r="BZ135" s="105"/>
      <c r="CA135" s="105"/>
      <c r="CB135" s="105"/>
      <c r="CC135" s="105"/>
      <c r="CD135" s="105"/>
      <c r="CE135" s="105"/>
      <c r="CF135" s="105"/>
      <c r="CG135" s="105"/>
      <c r="CH135" s="105"/>
      <c r="CI135" s="105"/>
      <c r="CJ135" s="105"/>
      <c r="CK135" s="105"/>
      <c r="CL135" s="105"/>
      <c r="CM135" s="105"/>
      <c r="CN135" s="105"/>
      <c r="CO135" s="105"/>
      <c r="CP135" s="105"/>
      <c r="CQ135" s="105"/>
      <c r="CR135" s="105"/>
      <c r="CS135" s="105"/>
      <c r="CT135" s="105"/>
      <c r="CU135" s="105"/>
      <c r="CV135" s="105"/>
      <c r="CW135" s="105"/>
      <c r="CX135" s="105"/>
      <c r="CY135" s="105"/>
      <c r="CZ135" s="104"/>
      <c r="DA135" s="105"/>
      <c r="DB135" s="105"/>
      <c r="DC135" s="105"/>
      <c r="DD135" s="105"/>
      <c r="DE135" s="105"/>
      <c r="DF135" s="105"/>
      <c r="DG135" s="105"/>
      <c r="DH135" s="105"/>
      <c r="DI135" s="105"/>
      <c r="DJ135" s="105"/>
      <c r="DK135" s="104"/>
      <c r="DL135" s="104"/>
    </row>
    <row r="136" ht="12.0" customHeight="1">
      <c r="A136" s="104"/>
      <c r="B136" s="104"/>
      <c r="C136" s="243"/>
      <c r="D136" s="243"/>
      <c r="E136" s="243"/>
      <c r="F136" s="243"/>
      <c r="G136" s="243"/>
      <c r="H136" s="243"/>
      <c r="I136" s="243"/>
      <c r="J136" s="243"/>
      <c r="K136" s="243"/>
      <c r="L136" s="243"/>
      <c r="M136" s="243"/>
      <c r="N136" s="243"/>
      <c r="O136" s="243"/>
      <c r="P136" s="243"/>
      <c r="Q136" s="243"/>
      <c r="R136" s="243"/>
      <c r="S136" s="243"/>
      <c r="T136" s="243"/>
      <c r="U136" s="243"/>
      <c r="V136" s="243"/>
      <c r="W136" s="243"/>
      <c r="X136" s="243"/>
      <c r="Y136" s="243"/>
      <c r="Z136" s="243"/>
      <c r="AA136" s="243"/>
      <c r="AB136" s="243"/>
      <c r="AC136" s="105"/>
      <c r="AD136" s="105"/>
      <c r="AE136" s="105"/>
      <c r="AF136" s="105"/>
      <c r="AG136" s="105"/>
      <c r="AH136" s="105"/>
      <c r="AI136" s="105"/>
      <c r="AJ136" s="105"/>
      <c r="AK136" s="105"/>
      <c r="AL136" s="105"/>
      <c r="AM136" s="105"/>
      <c r="AN136" s="105"/>
      <c r="AO136" s="105"/>
      <c r="AP136" s="105"/>
      <c r="AQ136" s="105"/>
      <c r="AR136" s="105"/>
      <c r="AS136" s="105"/>
      <c r="AT136" s="105"/>
      <c r="AU136" s="105"/>
      <c r="AV136" s="105"/>
      <c r="AW136" s="105"/>
      <c r="AX136" s="105"/>
      <c r="AY136" s="105"/>
      <c r="AZ136" s="105"/>
      <c r="BA136" s="105"/>
      <c r="BB136" s="105"/>
      <c r="BC136" s="105"/>
      <c r="BD136" s="105"/>
      <c r="BE136" s="105"/>
      <c r="BF136" s="105"/>
      <c r="BG136" s="105"/>
      <c r="BH136" s="105"/>
      <c r="BI136" s="105"/>
      <c r="BJ136" s="105"/>
      <c r="BK136" s="105"/>
      <c r="BL136" s="105"/>
      <c r="BM136" s="105"/>
      <c r="BN136" s="105"/>
      <c r="BO136" s="105"/>
      <c r="BP136" s="105"/>
      <c r="BQ136" s="105"/>
      <c r="BR136" s="105"/>
      <c r="BS136" s="105"/>
      <c r="BT136" s="105"/>
      <c r="BU136" s="105"/>
      <c r="BV136" s="105"/>
      <c r="BW136" s="105"/>
      <c r="BX136" s="105"/>
      <c r="BY136" s="105"/>
      <c r="BZ136" s="105"/>
      <c r="CA136" s="105"/>
      <c r="CB136" s="105"/>
      <c r="CC136" s="105"/>
      <c r="CD136" s="105"/>
      <c r="CE136" s="105"/>
      <c r="CF136" s="105"/>
      <c r="CG136" s="105"/>
      <c r="CH136" s="105"/>
      <c r="CI136" s="105"/>
      <c r="CJ136" s="105"/>
      <c r="CK136" s="105"/>
      <c r="CL136" s="105"/>
      <c r="CM136" s="105"/>
      <c r="CN136" s="105"/>
      <c r="CO136" s="105"/>
      <c r="CP136" s="105"/>
      <c r="CQ136" s="105"/>
      <c r="CR136" s="105"/>
      <c r="CS136" s="105"/>
      <c r="CT136" s="105"/>
      <c r="CU136" s="105"/>
      <c r="CV136" s="105"/>
      <c r="CW136" s="105"/>
      <c r="CX136" s="105"/>
      <c r="CY136" s="105"/>
      <c r="CZ136" s="104"/>
      <c r="DA136" s="105"/>
      <c r="DB136" s="105"/>
      <c r="DC136" s="105"/>
      <c r="DD136" s="105"/>
      <c r="DE136" s="105"/>
      <c r="DF136" s="105"/>
      <c r="DG136" s="105"/>
      <c r="DH136" s="105"/>
      <c r="DI136" s="105"/>
      <c r="DJ136" s="105"/>
      <c r="DK136" s="104"/>
      <c r="DL136" s="104"/>
    </row>
    <row r="137" ht="12.0" customHeight="1">
      <c r="A137" s="104"/>
      <c r="B137" s="104"/>
      <c r="C137" s="243"/>
      <c r="D137" s="243"/>
      <c r="E137" s="243"/>
      <c r="F137" s="243"/>
      <c r="G137" s="243"/>
      <c r="H137" s="243"/>
      <c r="I137" s="243"/>
      <c r="J137" s="243"/>
      <c r="K137" s="243"/>
      <c r="L137" s="243"/>
      <c r="M137" s="243"/>
      <c r="N137" s="243"/>
      <c r="O137" s="243"/>
      <c r="P137" s="243"/>
      <c r="Q137" s="243"/>
      <c r="R137" s="243"/>
      <c r="S137" s="243"/>
      <c r="T137" s="243"/>
      <c r="U137" s="243"/>
      <c r="V137" s="243"/>
      <c r="W137" s="243"/>
      <c r="X137" s="243"/>
      <c r="Y137" s="243"/>
      <c r="Z137" s="243"/>
      <c r="AA137" s="243"/>
      <c r="AB137" s="243"/>
      <c r="AC137" s="105"/>
      <c r="AD137" s="105"/>
      <c r="AE137" s="105"/>
      <c r="AF137" s="105"/>
      <c r="AG137" s="105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105"/>
      <c r="AW137" s="105"/>
      <c r="AX137" s="105"/>
      <c r="AY137" s="105"/>
      <c r="AZ137" s="105"/>
      <c r="BA137" s="105"/>
      <c r="BB137" s="105"/>
      <c r="BC137" s="105"/>
      <c r="BD137" s="105"/>
      <c r="BE137" s="105"/>
      <c r="BF137" s="105"/>
      <c r="BG137" s="105"/>
      <c r="BH137" s="105"/>
      <c r="BI137" s="105"/>
      <c r="BJ137" s="105"/>
      <c r="BK137" s="105"/>
      <c r="BL137" s="105"/>
      <c r="BM137" s="105"/>
      <c r="BN137" s="105"/>
      <c r="BO137" s="105"/>
      <c r="BP137" s="105"/>
      <c r="BQ137" s="105"/>
      <c r="BR137" s="105"/>
      <c r="BS137" s="105"/>
      <c r="BT137" s="105"/>
      <c r="BU137" s="105"/>
      <c r="BV137" s="105"/>
      <c r="BW137" s="105"/>
      <c r="BX137" s="105"/>
      <c r="BY137" s="105"/>
      <c r="BZ137" s="105"/>
      <c r="CA137" s="105"/>
      <c r="CB137" s="105"/>
      <c r="CC137" s="105"/>
      <c r="CD137" s="105"/>
      <c r="CE137" s="105"/>
      <c r="CF137" s="105"/>
      <c r="CG137" s="105"/>
      <c r="CH137" s="105"/>
      <c r="CI137" s="105"/>
      <c r="CJ137" s="105"/>
      <c r="CK137" s="105"/>
      <c r="CL137" s="105"/>
      <c r="CM137" s="105"/>
      <c r="CN137" s="105"/>
      <c r="CO137" s="105"/>
      <c r="CP137" s="105"/>
      <c r="CQ137" s="105"/>
      <c r="CR137" s="105"/>
      <c r="CS137" s="105"/>
      <c r="CT137" s="105"/>
      <c r="CU137" s="105"/>
      <c r="CV137" s="105"/>
      <c r="CW137" s="105"/>
      <c r="CX137" s="105"/>
      <c r="CY137" s="105"/>
      <c r="CZ137" s="104"/>
      <c r="DA137" s="105"/>
      <c r="DB137" s="105"/>
      <c r="DC137" s="105"/>
      <c r="DD137" s="105"/>
      <c r="DE137" s="105"/>
      <c r="DF137" s="105"/>
      <c r="DG137" s="105"/>
      <c r="DH137" s="105"/>
      <c r="DI137" s="105"/>
      <c r="DJ137" s="105"/>
      <c r="DK137" s="104"/>
      <c r="DL137" s="104"/>
    </row>
    <row r="138" ht="12.0" customHeight="1">
      <c r="A138" s="104"/>
      <c r="B138" s="104"/>
      <c r="C138" s="243"/>
      <c r="D138" s="243"/>
      <c r="E138" s="243"/>
      <c r="F138" s="243"/>
      <c r="G138" s="243"/>
      <c r="H138" s="243"/>
      <c r="I138" s="243"/>
      <c r="J138" s="243"/>
      <c r="K138" s="243"/>
      <c r="L138" s="243"/>
      <c r="M138" s="243"/>
      <c r="N138" s="243"/>
      <c r="O138" s="243"/>
      <c r="P138" s="243"/>
      <c r="Q138" s="243"/>
      <c r="R138" s="243"/>
      <c r="S138" s="243"/>
      <c r="T138" s="243"/>
      <c r="U138" s="243"/>
      <c r="V138" s="243"/>
      <c r="W138" s="243"/>
      <c r="X138" s="243"/>
      <c r="Y138" s="243"/>
      <c r="Z138" s="243"/>
      <c r="AA138" s="243"/>
      <c r="AB138" s="243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105"/>
      <c r="BA138" s="105"/>
      <c r="BB138" s="105"/>
      <c r="BC138" s="105"/>
      <c r="BD138" s="105"/>
      <c r="BE138" s="105"/>
      <c r="BF138" s="105"/>
      <c r="BG138" s="105"/>
      <c r="BH138" s="105"/>
      <c r="BI138" s="105"/>
      <c r="BJ138" s="105"/>
      <c r="BK138" s="105"/>
      <c r="BL138" s="105"/>
      <c r="BM138" s="105"/>
      <c r="BN138" s="105"/>
      <c r="BO138" s="105"/>
      <c r="BP138" s="105"/>
      <c r="BQ138" s="105"/>
      <c r="BR138" s="105"/>
      <c r="BS138" s="105"/>
      <c r="BT138" s="105"/>
      <c r="BU138" s="105"/>
      <c r="BV138" s="105"/>
      <c r="BW138" s="105"/>
      <c r="BX138" s="105"/>
      <c r="BY138" s="105"/>
      <c r="BZ138" s="105"/>
      <c r="CA138" s="105"/>
      <c r="CB138" s="105"/>
      <c r="CC138" s="105"/>
      <c r="CD138" s="105"/>
      <c r="CE138" s="105"/>
      <c r="CF138" s="105"/>
      <c r="CG138" s="105"/>
      <c r="CH138" s="105"/>
      <c r="CI138" s="105"/>
      <c r="CJ138" s="105"/>
      <c r="CK138" s="105"/>
      <c r="CL138" s="105"/>
      <c r="CM138" s="105"/>
      <c r="CN138" s="105"/>
      <c r="CO138" s="105"/>
      <c r="CP138" s="105"/>
      <c r="CQ138" s="105"/>
      <c r="CR138" s="105"/>
      <c r="CS138" s="105"/>
      <c r="CT138" s="105"/>
      <c r="CU138" s="105"/>
      <c r="CV138" s="105"/>
      <c r="CW138" s="105"/>
      <c r="CX138" s="105"/>
      <c r="CY138" s="105"/>
      <c r="CZ138" s="104"/>
      <c r="DA138" s="105"/>
      <c r="DB138" s="105"/>
      <c r="DC138" s="105"/>
      <c r="DD138" s="105"/>
      <c r="DE138" s="105"/>
      <c r="DF138" s="105"/>
      <c r="DG138" s="105"/>
      <c r="DH138" s="105"/>
      <c r="DI138" s="105"/>
      <c r="DJ138" s="105"/>
      <c r="DK138" s="104"/>
      <c r="DL138" s="104"/>
    </row>
    <row r="139" ht="12.0" customHeight="1">
      <c r="A139" s="104"/>
      <c r="B139" s="104"/>
      <c r="C139" s="243"/>
      <c r="D139" s="243"/>
      <c r="E139" s="243"/>
      <c r="F139" s="243"/>
      <c r="G139" s="243"/>
      <c r="H139" s="243"/>
      <c r="I139" s="243"/>
      <c r="J139" s="243"/>
      <c r="K139" s="243"/>
      <c r="L139" s="243"/>
      <c r="M139" s="243"/>
      <c r="N139" s="243"/>
      <c r="O139" s="243"/>
      <c r="P139" s="243"/>
      <c r="Q139" s="243"/>
      <c r="R139" s="243"/>
      <c r="S139" s="243"/>
      <c r="T139" s="243"/>
      <c r="U139" s="243"/>
      <c r="V139" s="243"/>
      <c r="W139" s="243"/>
      <c r="X139" s="243"/>
      <c r="Y139" s="243"/>
      <c r="Z139" s="243"/>
      <c r="AA139" s="243"/>
      <c r="AB139" s="243"/>
      <c r="AC139" s="105"/>
      <c r="AD139" s="105"/>
      <c r="AE139" s="105"/>
      <c r="AF139" s="105"/>
      <c r="AG139" s="105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  <c r="BA139" s="105"/>
      <c r="BB139" s="105"/>
      <c r="BC139" s="105"/>
      <c r="BD139" s="105"/>
      <c r="BE139" s="105"/>
      <c r="BF139" s="105"/>
      <c r="BG139" s="105"/>
      <c r="BH139" s="105"/>
      <c r="BI139" s="105"/>
      <c r="BJ139" s="105"/>
      <c r="BK139" s="105"/>
      <c r="BL139" s="105"/>
      <c r="BM139" s="105"/>
      <c r="BN139" s="105"/>
      <c r="BO139" s="105"/>
      <c r="BP139" s="105"/>
      <c r="BQ139" s="105"/>
      <c r="BR139" s="105"/>
      <c r="BS139" s="105"/>
      <c r="BT139" s="105"/>
      <c r="BU139" s="105"/>
      <c r="BV139" s="105"/>
      <c r="BW139" s="105"/>
      <c r="BX139" s="105"/>
      <c r="BY139" s="105"/>
      <c r="BZ139" s="105"/>
      <c r="CA139" s="105"/>
      <c r="CB139" s="105"/>
      <c r="CC139" s="105"/>
      <c r="CD139" s="105"/>
      <c r="CE139" s="105"/>
      <c r="CF139" s="105"/>
      <c r="CG139" s="105"/>
      <c r="CH139" s="105"/>
      <c r="CI139" s="105"/>
      <c r="CJ139" s="105"/>
      <c r="CK139" s="105"/>
      <c r="CL139" s="105"/>
      <c r="CM139" s="105"/>
      <c r="CN139" s="105"/>
      <c r="CO139" s="105"/>
      <c r="CP139" s="105"/>
      <c r="CQ139" s="105"/>
      <c r="CR139" s="105"/>
      <c r="CS139" s="105"/>
      <c r="CT139" s="105"/>
      <c r="CU139" s="105"/>
      <c r="CV139" s="105"/>
      <c r="CW139" s="105"/>
      <c r="CX139" s="105"/>
      <c r="CY139" s="105"/>
      <c r="CZ139" s="104"/>
      <c r="DA139" s="105"/>
      <c r="DB139" s="105"/>
      <c r="DC139" s="105"/>
      <c r="DD139" s="105"/>
      <c r="DE139" s="105"/>
      <c r="DF139" s="105"/>
      <c r="DG139" s="105"/>
      <c r="DH139" s="105"/>
      <c r="DI139" s="105"/>
      <c r="DJ139" s="105"/>
      <c r="DK139" s="104"/>
      <c r="DL139" s="104"/>
    </row>
    <row r="140" ht="12.0" customHeight="1">
      <c r="A140" s="104"/>
      <c r="B140" s="104"/>
      <c r="C140" s="243"/>
      <c r="D140" s="243"/>
      <c r="E140" s="243"/>
      <c r="F140" s="243"/>
      <c r="G140" s="243"/>
      <c r="H140" s="243"/>
      <c r="I140" s="243"/>
      <c r="J140" s="243"/>
      <c r="K140" s="243"/>
      <c r="L140" s="243"/>
      <c r="M140" s="243"/>
      <c r="N140" s="243"/>
      <c r="O140" s="243"/>
      <c r="P140" s="243"/>
      <c r="Q140" s="243"/>
      <c r="R140" s="243"/>
      <c r="S140" s="243"/>
      <c r="T140" s="243"/>
      <c r="U140" s="243"/>
      <c r="V140" s="243"/>
      <c r="W140" s="243"/>
      <c r="X140" s="243"/>
      <c r="Y140" s="243"/>
      <c r="Z140" s="243"/>
      <c r="AA140" s="243"/>
      <c r="AB140" s="243"/>
      <c r="AC140" s="105"/>
      <c r="AD140" s="105"/>
      <c r="AE140" s="105"/>
      <c r="AF140" s="105"/>
      <c r="AG140" s="105"/>
      <c r="AH140" s="105"/>
      <c r="AI140" s="105"/>
      <c r="AJ140" s="105"/>
      <c r="AK140" s="105"/>
      <c r="AL140" s="105"/>
      <c r="AM140" s="105"/>
      <c r="AN140" s="105"/>
      <c r="AO140" s="105"/>
      <c r="AP140" s="105"/>
      <c r="AQ140" s="105"/>
      <c r="AR140" s="105"/>
      <c r="AS140" s="105"/>
      <c r="AT140" s="105"/>
      <c r="AU140" s="105"/>
      <c r="AV140" s="105"/>
      <c r="AW140" s="105"/>
      <c r="AX140" s="105"/>
      <c r="AY140" s="105"/>
      <c r="AZ140" s="105"/>
      <c r="BA140" s="105"/>
      <c r="BB140" s="105"/>
      <c r="BC140" s="105"/>
      <c r="BD140" s="105"/>
      <c r="BE140" s="105"/>
      <c r="BF140" s="105"/>
      <c r="BG140" s="105"/>
      <c r="BH140" s="105"/>
      <c r="BI140" s="105"/>
      <c r="BJ140" s="105"/>
      <c r="BK140" s="105"/>
      <c r="BL140" s="105"/>
      <c r="BM140" s="105"/>
      <c r="BN140" s="105"/>
      <c r="BO140" s="105"/>
      <c r="BP140" s="105"/>
      <c r="BQ140" s="105"/>
      <c r="BR140" s="105"/>
      <c r="BS140" s="105"/>
      <c r="BT140" s="105"/>
      <c r="BU140" s="105"/>
      <c r="BV140" s="105"/>
      <c r="BW140" s="105"/>
      <c r="BX140" s="105"/>
      <c r="BY140" s="105"/>
      <c r="BZ140" s="105"/>
      <c r="CA140" s="105"/>
      <c r="CB140" s="105"/>
      <c r="CC140" s="105"/>
      <c r="CD140" s="105"/>
      <c r="CE140" s="105"/>
      <c r="CF140" s="105"/>
      <c r="CG140" s="105"/>
      <c r="CH140" s="105"/>
      <c r="CI140" s="105"/>
      <c r="CJ140" s="105"/>
      <c r="CK140" s="105"/>
      <c r="CL140" s="105"/>
      <c r="CM140" s="105"/>
      <c r="CN140" s="105"/>
      <c r="CO140" s="105"/>
      <c r="CP140" s="105"/>
      <c r="CQ140" s="105"/>
      <c r="CR140" s="105"/>
      <c r="CS140" s="105"/>
      <c r="CT140" s="105"/>
      <c r="CU140" s="105"/>
      <c r="CV140" s="105"/>
      <c r="CW140" s="105"/>
      <c r="CX140" s="105"/>
      <c r="CY140" s="105"/>
      <c r="CZ140" s="104"/>
      <c r="DA140" s="105"/>
      <c r="DB140" s="105"/>
      <c r="DC140" s="105"/>
      <c r="DD140" s="105"/>
      <c r="DE140" s="105"/>
      <c r="DF140" s="105"/>
      <c r="DG140" s="105"/>
      <c r="DH140" s="105"/>
      <c r="DI140" s="105"/>
      <c r="DJ140" s="105"/>
      <c r="DK140" s="104"/>
      <c r="DL140" s="104"/>
    </row>
    <row r="141" ht="12.0" customHeight="1">
      <c r="A141" s="104"/>
      <c r="B141" s="104"/>
      <c r="C141" s="243"/>
      <c r="D141" s="243"/>
      <c r="E141" s="243"/>
      <c r="F141" s="243"/>
      <c r="G141" s="243"/>
      <c r="H141" s="243"/>
      <c r="I141" s="243"/>
      <c r="J141" s="243"/>
      <c r="K141" s="243"/>
      <c r="L141" s="243"/>
      <c r="M141" s="243"/>
      <c r="N141" s="243"/>
      <c r="O141" s="243"/>
      <c r="P141" s="243"/>
      <c r="Q141" s="243"/>
      <c r="R141" s="243"/>
      <c r="S141" s="243"/>
      <c r="T141" s="243"/>
      <c r="U141" s="243"/>
      <c r="V141" s="243"/>
      <c r="W141" s="243"/>
      <c r="X141" s="243"/>
      <c r="Y141" s="243"/>
      <c r="Z141" s="243"/>
      <c r="AA141" s="243"/>
      <c r="AB141" s="243"/>
      <c r="AC141" s="105"/>
      <c r="AD141" s="105"/>
      <c r="AE141" s="105"/>
      <c r="AF141" s="105"/>
      <c r="AG141" s="105"/>
      <c r="AH141" s="105"/>
      <c r="AI141" s="105"/>
      <c r="AJ141" s="105"/>
      <c r="AK141" s="105"/>
      <c r="AL141" s="105"/>
      <c r="AM141" s="105"/>
      <c r="AN141" s="105"/>
      <c r="AO141" s="105"/>
      <c r="AP141" s="105"/>
      <c r="AQ141" s="105"/>
      <c r="AR141" s="105"/>
      <c r="AS141" s="105"/>
      <c r="AT141" s="105"/>
      <c r="AU141" s="105"/>
      <c r="AV141" s="105"/>
      <c r="AW141" s="105"/>
      <c r="AX141" s="105"/>
      <c r="AY141" s="105"/>
      <c r="AZ141" s="105"/>
      <c r="BA141" s="105"/>
      <c r="BB141" s="105"/>
      <c r="BC141" s="105"/>
      <c r="BD141" s="105"/>
      <c r="BE141" s="105"/>
      <c r="BF141" s="105"/>
      <c r="BG141" s="105"/>
      <c r="BH141" s="105"/>
      <c r="BI141" s="105"/>
      <c r="BJ141" s="105"/>
      <c r="BK141" s="105"/>
      <c r="BL141" s="105"/>
      <c r="BM141" s="105"/>
      <c r="BN141" s="105"/>
      <c r="BO141" s="105"/>
      <c r="BP141" s="105"/>
      <c r="BQ141" s="105"/>
      <c r="BR141" s="105"/>
      <c r="BS141" s="105"/>
      <c r="BT141" s="105"/>
      <c r="BU141" s="105"/>
      <c r="BV141" s="105"/>
      <c r="BW141" s="105"/>
      <c r="BX141" s="105"/>
      <c r="BY141" s="105"/>
      <c r="BZ141" s="105"/>
      <c r="CA141" s="105"/>
      <c r="CB141" s="105"/>
      <c r="CC141" s="105"/>
      <c r="CD141" s="105"/>
      <c r="CE141" s="105"/>
      <c r="CF141" s="105"/>
      <c r="CG141" s="105"/>
      <c r="CH141" s="105"/>
      <c r="CI141" s="105"/>
      <c r="CJ141" s="105"/>
      <c r="CK141" s="105"/>
      <c r="CL141" s="105"/>
      <c r="CM141" s="105"/>
      <c r="CN141" s="105"/>
      <c r="CO141" s="105"/>
      <c r="CP141" s="105"/>
      <c r="CQ141" s="105"/>
      <c r="CR141" s="105"/>
      <c r="CS141" s="105"/>
      <c r="CT141" s="105"/>
      <c r="CU141" s="105"/>
      <c r="CV141" s="105"/>
      <c r="CW141" s="105"/>
      <c r="CX141" s="105"/>
      <c r="CY141" s="105"/>
      <c r="CZ141" s="104"/>
      <c r="DA141" s="105"/>
      <c r="DB141" s="105"/>
      <c r="DC141" s="105"/>
      <c r="DD141" s="105"/>
      <c r="DE141" s="105"/>
      <c r="DF141" s="105"/>
      <c r="DG141" s="105"/>
      <c r="DH141" s="105"/>
      <c r="DI141" s="105"/>
      <c r="DJ141" s="105"/>
      <c r="DK141" s="104"/>
      <c r="DL141" s="104"/>
    </row>
    <row r="142" ht="12.0" customHeight="1">
      <c r="A142" s="104"/>
      <c r="B142" s="104"/>
      <c r="C142" s="243"/>
      <c r="D142" s="243"/>
      <c r="E142" s="243"/>
      <c r="F142" s="243"/>
      <c r="G142" s="243"/>
      <c r="H142" s="243"/>
      <c r="I142" s="243"/>
      <c r="J142" s="243"/>
      <c r="K142" s="243"/>
      <c r="L142" s="243"/>
      <c r="M142" s="243"/>
      <c r="N142" s="243"/>
      <c r="O142" s="243"/>
      <c r="P142" s="243"/>
      <c r="Q142" s="243"/>
      <c r="R142" s="243"/>
      <c r="S142" s="243"/>
      <c r="T142" s="243"/>
      <c r="U142" s="243"/>
      <c r="V142" s="243"/>
      <c r="W142" s="243"/>
      <c r="X142" s="243"/>
      <c r="Y142" s="243"/>
      <c r="Z142" s="243"/>
      <c r="AA142" s="243"/>
      <c r="AB142" s="243"/>
      <c r="AC142" s="105"/>
      <c r="AD142" s="105"/>
      <c r="AE142" s="105"/>
      <c r="AF142" s="105"/>
      <c r="AG142" s="105"/>
      <c r="AH142" s="105"/>
      <c r="AI142" s="105"/>
      <c r="AJ142" s="105"/>
      <c r="AK142" s="105"/>
      <c r="AL142" s="105"/>
      <c r="AM142" s="105"/>
      <c r="AN142" s="105"/>
      <c r="AO142" s="105"/>
      <c r="AP142" s="105"/>
      <c r="AQ142" s="105"/>
      <c r="AR142" s="105"/>
      <c r="AS142" s="105"/>
      <c r="AT142" s="105"/>
      <c r="AU142" s="105"/>
      <c r="AV142" s="105"/>
      <c r="AW142" s="105"/>
      <c r="AX142" s="105"/>
      <c r="AY142" s="105"/>
      <c r="AZ142" s="105"/>
      <c r="BA142" s="105"/>
      <c r="BB142" s="105"/>
      <c r="BC142" s="105"/>
      <c r="BD142" s="105"/>
      <c r="BE142" s="105"/>
      <c r="BF142" s="105"/>
      <c r="BG142" s="105"/>
      <c r="BH142" s="105"/>
      <c r="BI142" s="105"/>
      <c r="BJ142" s="105"/>
      <c r="BK142" s="105"/>
      <c r="BL142" s="105"/>
      <c r="BM142" s="105"/>
      <c r="BN142" s="105"/>
      <c r="BO142" s="105"/>
      <c r="BP142" s="105"/>
      <c r="BQ142" s="105"/>
      <c r="BR142" s="105"/>
      <c r="BS142" s="105"/>
      <c r="BT142" s="105"/>
      <c r="BU142" s="105"/>
      <c r="BV142" s="105"/>
      <c r="BW142" s="105"/>
      <c r="BX142" s="105"/>
      <c r="BY142" s="105"/>
      <c r="BZ142" s="105"/>
      <c r="CA142" s="105"/>
      <c r="CB142" s="105"/>
      <c r="CC142" s="105"/>
      <c r="CD142" s="105"/>
      <c r="CE142" s="105"/>
      <c r="CF142" s="105"/>
      <c r="CG142" s="105"/>
      <c r="CH142" s="105"/>
      <c r="CI142" s="105"/>
      <c r="CJ142" s="105"/>
      <c r="CK142" s="105"/>
      <c r="CL142" s="105"/>
      <c r="CM142" s="105"/>
      <c r="CN142" s="105"/>
      <c r="CO142" s="105"/>
      <c r="CP142" s="105"/>
      <c r="CQ142" s="105"/>
      <c r="CR142" s="105"/>
      <c r="CS142" s="105"/>
      <c r="CT142" s="105"/>
      <c r="CU142" s="105"/>
      <c r="CV142" s="105"/>
      <c r="CW142" s="105"/>
      <c r="CX142" s="105"/>
      <c r="CY142" s="105"/>
      <c r="CZ142" s="104"/>
      <c r="DA142" s="105"/>
      <c r="DB142" s="105"/>
      <c r="DC142" s="105"/>
      <c r="DD142" s="105"/>
      <c r="DE142" s="105"/>
      <c r="DF142" s="105"/>
      <c r="DG142" s="105"/>
      <c r="DH142" s="105"/>
      <c r="DI142" s="105"/>
      <c r="DJ142" s="105"/>
      <c r="DK142" s="104"/>
      <c r="DL142" s="104"/>
    </row>
    <row r="143" ht="12.0" customHeight="1">
      <c r="A143" s="104"/>
      <c r="B143" s="104"/>
      <c r="C143" s="243"/>
      <c r="D143" s="243"/>
      <c r="E143" s="243"/>
      <c r="F143" s="243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3"/>
      <c r="AC143" s="105"/>
      <c r="AD143" s="105"/>
      <c r="AE143" s="105"/>
      <c r="AF143" s="105"/>
      <c r="AG143" s="105"/>
      <c r="AH143" s="105"/>
      <c r="AI143" s="105"/>
      <c r="AJ143" s="105"/>
      <c r="AK143" s="105"/>
      <c r="AL143" s="105"/>
      <c r="AM143" s="105"/>
      <c r="AN143" s="105"/>
      <c r="AO143" s="105"/>
      <c r="AP143" s="105"/>
      <c r="AQ143" s="105"/>
      <c r="AR143" s="105"/>
      <c r="AS143" s="105"/>
      <c r="AT143" s="105"/>
      <c r="AU143" s="105"/>
      <c r="AV143" s="105"/>
      <c r="AW143" s="105"/>
      <c r="AX143" s="105"/>
      <c r="AY143" s="105"/>
      <c r="AZ143" s="105"/>
      <c r="BA143" s="105"/>
      <c r="BB143" s="105"/>
      <c r="BC143" s="105"/>
      <c r="BD143" s="105"/>
      <c r="BE143" s="105"/>
      <c r="BF143" s="105"/>
      <c r="BG143" s="105"/>
      <c r="BH143" s="105"/>
      <c r="BI143" s="105"/>
      <c r="BJ143" s="105"/>
      <c r="BK143" s="105"/>
      <c r="BL143" s="105"/>
      <c r="BM143" s="105"/>
      <c r="BN143" s="105"/>
      <c r="BO143" s="105"/>
      <c r="BP143" s="105"/>
      <c r="BQ143" s="105"/>
      <c r="BR143" s="105"/>
      <c r="BS143" s="105"/>
      <c r="BT143" s="105"/>
      <c r="BU143" s="105"/>
      <c r="BV143" s="105"/>
      <c r="BW143" s="105"/>
      <c r="BX143" s="105"/>
      <c r="BY143" s="105"/>
      <c r="BZ143" s="105"/>
      <c r="CA143" s="105"/>
      <c r="CB143" s="105"/>
      <c r="CC143" s="105"/>
      <c r="CD143" s="105"/>
      <c r="CE143" s="105"/>
      <c r="CF143" s="105"/>
      <c r="CG143" s="105"/>
      <c r="CH143" s="105"/>
      <c r="CI143" s="105"/>
      <c r="CJ143" s="105"/>
      <c r="CK143" s="105"/>
      <c r="CL143" s="105"/>
      <c r="CM143" s="105"/>
      <c r="CN143" s="105"/>
      <c r="CO143" s="105"/>
      <c r="CP143" s="105"/>
      <c r="CQ143" s="105"/>
      <c r="CR143" s="105"/>
      <c r="CS143" s="105"/>
      <c r="CT143" s="105"/>
      <c r="CU143" s="105"/>
      <c r="CV143" s="105"/>
      <c r="CW143" s="105"/>
      <c r="CX143" s="105"/>
      <c r="CY143" s="105"/>
      <c r="CZ143" s="104"/>
      <c r="DA143" s="105"/>
      <c r="DB143" s="105"/>
      <c r="DC143" s="105"/>
      <c r="DD143" s="105"/>
      <c r="DE143" s="105"/>
      <c r="DF143" s="105"/>
      <c r="DG143" s="105"/>
      <c r="DH143" s="105"/>
      <c r="DI143" s="105"/>
      <c r="DJ143" s="105"/>
      <c r="DK143" s="104"/>
      <c r="DL143" s="104"/>
    </row>
    <row r="144" ht="12.0" customHeight="1">
      <c r="A144" s="104"/>
      <c r="B144" s="104"/>
      <c r="C144" s="243"/>
      <c r="D144" s="243"/>
      <c r="E144" s="243"/>
      <c r="F144" s="243"/>
      <c r="G144" s="243"/>
      <c r="H144" s="243"/>
      <c r="I144" s="243"/>
      <c r="J144" s="243"/>
      <c r="K144" s="243"/>
      <c r="L144" s="243"/>
      <c r="M144" s="243"/>
      <c r="N144" s="243"/>
      <c r="O144" s="243"/>
      <c r="P144" s="243"/>
      <c r="Q144" s="243"/>
      <c r="R144" s="243"/>
      <c r="S144" s="243"/>
      <c r="T144" s="243"/>
      <c r="U144" s="243"/>
      <c r="V144" s="243"/>
      <c r="W144" s="243"/>
      <c r="X144" s="243"/>
      <c r="Y144" s="243"/>
      <c r="Z144" s="243"/>
      <c r="AA144" s="243"/>
      <c r="AB144" s="243"/>
      <c r="AC144" s="105"/>
      <c r="AD144" s="105"/>
      <c r="AE144" s="105"/>
      <c r="AF144" s="105"/>
      <c r="AG144" s="105"/>
      <c r="AH144" s="105"/>
      <c r="AI144" s="105"/>
      <c r="AJ144" s="105"/>
      <c r="AK144" s="105"/>
      <c r="AL144" s="105"/>
      <c r="AM144" s="105"/>
      <c r="AN144" s="105"/>
      <c r="AO144" s="105"/>
      <c r="AP144" s="105"/>
      <c r="AQ144" s="105"/>
      <c r="AR144" s="105"/>
      <c r="AS144" s="105"/>
      <c r="AT144" s="105"/>
      <c r="AU144" s="105"/>
      <c r="AV144" s="105"/>
      <c r="AW144" s="105"/>
      <c r="AX144" s="105"/>
      <c r="AY144" s="105"/>
      <c r="AZ144" s="105"/>
      <c r="BA144" s="105"/>
      <c r="BB144" s="105"/>
      <c r="BC144" s="105"/>
      <c r="BD144" s="105"/>
      <c r="BE144" s="105"/>
      <c r="BF144" s="105"/>
      <c r="BG144" s="105"/>
      <c r="BH144" s="105"/>
      <c r="BI144" s="105"/>
      <c r="BJ144" s="105"/>
      <c r="BK144" s="105"/>
      <c r="BL144" s="105"/>
      <c r="BM144" s="105"/>
      <c r="BN144" s="105"/>
      <c r="BO144" s="105"/>
      <c r="BP144" s="105"/>
      <c r="BQ144" s="105"/>
      <c r="BR144" s="105"/>
      <c r="BS144" s="105"/>
      <c r="BT144" s="105"/>
      <c r="BU144" s="105"/>
      <c r="BV144" s="105"/>
      <c r="BW144" s="105"/>
      <c r="BX144" s="105"/>
      <c r="BY144" s="105"/>
      <c r="BZ144" s="105"/>
      <c r="CA144" s="105"/>
      <c r="CB144" s="105"/>
      <c r="CC144" s="105"/>
      <c r="CD144" s="105"/>
      <c r="CE144" s="105"/>
      <c r="CF144" s="105"/>
      <c r="CG144" s="105"/>
      <c r="CH144" s="105"/>
      <c r="CI144" s="105"/>
      <c r="CJ144" s="105"/>
      <c r="CK144" s="105"/>
      <c r="CL144" s="105"/>
      <c r="CM144" s="105"/>
      <c r="CN144" s="105"/>
      <c r="CO144" s="105"/>
      <c r="CP144" s="105"/>
      <c r="CQ144" s="105"/>
      <c r="CR144" s="105"/>
      <c r="CS144" s="105"/>
      <c r="CT144" s="105"/>
      <c r="CU144" s="105"/>
      <c r="CV144" s="105"/>
      <c r="CW144" s="105"/>
      <c r="CX144" s="105"/>
      <c r="CY144" s="105"/>
      <c r="CZ144" s="104"/>
      <c r="DA144" s="105"/>
      <c r="DB144" s="105"/>
      <c r="DC144" s="105"/>
      <c r="DD144" s="105"/>
      <c r="DE144" s="105"/>
      <c r="DF144" s="105"/>
      <c r="DG144" s="105"/>
      <c r="DH144" s="105"/>
      <c r="DI144" s="105"/>
      <c r="DJ144" s="105"/>
      <c r="DK144" s="104"/>
      <c r="DL144" s="104"/>
    </row>
    <row r="145" ht="12.0" customHeight="1">
      <c r="A145" s="104"/>
      <c r="B145" s="104"/>
      <c r="C145" s="243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243"/>
      <c r="T145" s="243"/>
      <c r="U145" s="243"/>
      <c r="V145" s="243"/>
      <c r="W145" s="243"/>
      <c r="X145" s="243"/>
      <c r="Y145" s="243"/>
      <c r="Z145" s="243"/>
      <c r="AA145" s="243"/>
      <c r="AB145" s="243"/>
      <c r="AC145" s="105"/>
      <c r="AD145" s="105"/>
      <c r="AE145" s="105"/>
      <c r="AF145" s="105"/>
      <c r="AG145" s="105"/>
      <c r="AH145" s="105"/>
      <c r="AI145" s="105"/>
      <c r="AJ145" s="105"/>
      <c r="AK145" s="105"/>
      <c r="AL145" s="105"/>
      <c r="AM145" s="105"/>
      <c r="AN145" s="105"/>
      <c r="AO145" s="105"/>
      <c r="AP145" s="105"/>
      <c r="AQ145" s="105"/>
      <c r="AR145" s="105"/>
      <c r="AS145" s="105"/>
      <c r="AT145" s="105"/>
      <c r="AU145" s="105"/>
      <c r="AV145" s="105"/>
      <c r="AW145" s="105"/>
      <c r="AX145" s="105"/>
      <c r="AY145" s="105"/>
      <c r="AZ145" s="105"/>
      <c r="BA145" s="105"/>
      <c r="BB145" s="105"/>
      <c r="BC145" s="105"/>
      <c r="BD145" s="105"/>
      <c r="BE145" s="105"/>
      <c r="BF145" s="105"/>
      <c r="BG145" s="105"/>
      <c r="BH145" s="105"/>
      <c r="BI145" s="105"/>
      <c r="BJ145" s="105"/>
      <c r="BK145" s="105"/>
      <c r="BL145" s="105"/>
      <c r="BM145" s="105"/>
      <c r="BN145" s="105"/>
      <c r="BO145" s="105"/>
      <c r="BP145" s="105"/>
      <c r="BQ145" s="105"/>
      <c r="BR145" s="105"/>
      <c r="BS145" s="105"/>
      <c r="BT145" s="105"/>
      <c r="BU145" s="105"/>
      <c r="BV145" s="105"/>
      <c r="BW145" s="105"/>
      <c r="BX145" s="105"/>
      <c r="BY145" s="105"/>
      <c r="BZ145" s="105"/>
      <c r="CA145" s="105"/>
      <c r="CB145" s="105"/>
      <c r="CC145" s="105"/>
      <c r="CD145" s="105"/>
      <c r="CE145" s="105"/>
      <c r="CF145" s="105"/>
      <c r="CG145" s="105"/>
      <c r="CH145" s="105"/>
      <c r="CI145" s="105"/>
      <c r="CJ145" s="105"/>
      <c r="CK145" s="105"/>
      <c r="CL145" s="105"/>
      <c r="CM145" s="105"/>
      <c r="CN145" s="105"/>
      <c r="CO145" s="105"/>
      <c r="CP145" s="105"/>
      <c r="CQ145" s="105"/>
      <c r="CR145" s="105"/>
      <c r="CS145" s="105"/>
      <c r="CT145" s="105"/>
      <c r="CU145" s="105"/>
      <c r="CV145" s="105"/>
      <c r="CW145" s="105"/>
      <c r="CX145" s="105"/>
      <c r="CY145" s="105"/>
      <c r="CZ145" s="104"/>
      <c r="DA145" s="105"/>
      <c r="DB145" s="105"/>
      <c r="DC145" s="105"/>
      <c r="DD145" s="105"/>
      <c r="DE145" s="105"/>
      <c r="DF145" s="105"/>
      <c r="DG145" s="105"/>
      <c r="DH145" s="105"/>
      <c r="DI145" s="105"/>
      <c r="DJ145" s="105"/>
      <c r="DK145" s="104"/>
      <c r="DL145" s="104"/>
    </row>
    <row r="146" ht="12.0" customHeight="1">
      <c r="A146" s="104"/>
      <c r="B146" s="104"/>
      <c r="C146" s="243"/>
      <c r="D146" s="243"/>
      <c r="E146" s="243"/>
      <c r="F146" s="243"/>
      <c r="G146" s="243"/>
      <c r="H146" s="243"/>
      <c r="I146" s="243"/>
      <c r="J146" s="243"/>
      <c r="K146" s="243"/>
      <c r="L146" s="243"/>
      <c r="M146" s="243"/>
      <c r="N146" s="243"/>
      <c r="O146" s="243"/>
      <c r="P146" s="243"/>
      <c r="Q146" s="243"/>
      <c r="R146" s="243"/>
      <c r="S146" s="243"/>
      <c r="T146" s="243"/>
      <c r="U146" s="243"/>
      <c r="V146" s="243"/>
      <c r="W146" s="243"/>
      <c r="X146" s="243"/>
      <c r="Y146" s="243"/>
      <c r="Z146" s="243"/>
      <c r="AA146" s="243"/>
      <c r="AB146" s="243"/>
      <c r="AC146" s="105"/>
      <c r="AD146" s="105"/>
      <c r="AE146" s="105"/>
      <c r="AF146" s="105"/>
      <c r="AG146" s="105"/>
      <c r="AH146" s="105"/>
      <c r="AI146" s="105"/>
      <c r="AJ146" s="105"/>
      <c r="AK146" s="105"/>
      <c r="AL146" s="105"/>
      <c r="AM146" s="105"/>
      <c r="AN146" s="105"/>
      <c r="AO146" s="105"/>
      <c r="AP146" s="105"/>
      <c r="AQ146" s="105"/>
      <c r="AR146" s="105"/>
      <c r="AS146" s="105"/>
      <c r="AT146" s="105"/>
      <c r="AU146" s="105"/>
      <c r="AV146" s="105"/>
      <c r="AW146" s="105"/>
      <c r="AX146" s="105"/>
      <c r="AY146" s="105"/>
      <c r="AZ146" s="105"/>
      <c r="BA146" s="105"/>
      <c r="BB146" s="105"/>
      <c r="BC146" s="105"/>
      <c r="BD146" s="105"/>
      <c r="BE146" s="105"/>
      <c r="BF146" s="105"/>
      <c r="BG146" s="105"/>
      <c r="BH146" s="105"/>
      <c r="BI146" s="105"/>
      <c r="BJ146" s="105"/>
      <c r="BK146" s="105"/>
      <c r="BL146" s="105"/>
      <c r="BM146" s="105"/>
      <c r="BN146" s="105"/>
      <c r="BO146" s="105"/>
      <c r="BP146" s="105"/>
      <c r="BQ146" s="105"/>
      <c r="BR146" s="105"/>
      <c r="BS146" s="105"/>
      <c r="BT146" s="105"/>
      <c r="BU146" s="105"/>
      <c r="BV146" s="105"/>
      <c r="BW146" s="105"/>
      <c r="BX146" s="105"/>
      <c r="BY146" s="105"/>
      <c r="BZ146" s="105"/>
      <c r="CA146" s="105"/>
      <c r="CB146" s="105"/>
      <c r="CC146" s="105"/>
      <c r="CD146" s="105"/>
      <c r="CE146" s="105"/>
      <c r="CF146" s="105"/>
      <c r="CG146" s="105"/>
      <c r="CH146" s="105"/>
      <c r="CI146" s="105"/>
      <c r="CJ146" s="105"/>
      <c r="CK146" s="105"/>
      <c r="CL146" s="105"/>
      <c r="CM146" s="105"/>
      <c r="CN146" s="105"/>
      <c r="CO146" s="105"/>
      <c r="CP146" s="105"/>
      <c r="CQ146" s="105"/>
      <c r="CR146" s="105"/>
      <c r="CS146" s="105"/>
      <c r="CT146" s="105"/>
      <c r="CU146" s="105"/>
      <c r="CV146" s="105"/>
      <c r="CW146" s="105"/>
      <c r="CX146" s="105"/>
      <c r="CY146" s="105"/>
      <c r="CZ146" s="104"/>
      <c r="DA146" s="105"/>
      <c r="DB146" s="105"/>
      <c r="DC146" s="105"/>
      <c r="DD146" s="105"/>
      <c r="DE146" s="105"/>
      <c r="DF146" s="105"/>
      <c r="DG146" s="105"/>
      <c r="DH146" s="105"/>
      <c r="DI146" s="105"/>
      <c r="DJ146" s="105"/>
      <c r="DK146" s="104"/>
      <c r="DL146" s="104"/>
    </row>
    <row r="147" ht="12.0" customHeight="1">
      <c r="A147" s="104"/>
      <c r="B147" s="104"/>
      <c r="C147" s="243"/>
      <c r="D147" s="243"/>
      <c r="E147" s="243"/>
      <c r="F147" s="243"/>
      <c r="G147" s="243"/>
      <c r="H147" s="243"/>
      <c r="I147" s="243"/>
      <c r="J147" s="243"/>
      <c r="K147" s="243"/>
      <c r="L147" s="243"/>
      <c r="M147" s="243"/>
      <c r="N147" s="243"/>
      <c r="O147" s="243"/>
      <c r="P147" s="243"/>
      <c r="Q147" s="243"/>
      <c r="R147" s="243"/>
      <c r="S147" s="243"/>
      <c r="T147" s="243"/>
      <c r="U147" s="243"/>
      <c r="V147" s="243"/>
      <c r="W147" s="243"/>
      <c r="X147" s="243"/>
      <c r="Y147" s="243"/>
      <c r="Z147" s="243"/>
      <c r="AA147" s="243"/>
      <c r="AB147" s="243"/>
      <c r="AC147" s="105"/>
      <c r="AD147" s="105"/>
      <c r="AE147" s="105"/>
      <c r="AF147" s="105"/>
      <c r="AG147" s="105"/>
      <c r="AH147" s="105"/>
      <c r="AI147" s="105"/>
      <c r="AJ147" s="105"/>
      <c r="AK147" s="105"/>
      <c r="AL147" s="105"/>
      <c r="AM147" s="105"/>
      <c r="AN147" s="105"/>
      <c r="AO147" s="105"/>
      <c r="AP147" s="105"/>
      <c r="AQ147" s="105"/>
      <c r="AR147" s="105"/>
      <c r="AS147" s="105"/>
      <c r="AT147" s="105"/>
      <c r="AU147" s="105"/>
      <c r="AV147" s="105"/>
      <c r="AW147" s="105"/>
      <c r="AX147" s="105"/>
      <c r="AY147" s="105"/>
      <c r="AZ147" s="105"/>
      <c r="BA147" s="105"/>
      <c r="BB147" s="105"/>
      <c r="BC147" s="105"/>
      <c r="BD147" s="105"/>
      <c r="BE147" s="105"/>
      <c r="BF147" s="105"/>
      <c r="BG147" s="105"/>
      <c r="BH147" s="105"/>
      <c r="BI147" s="105"/>
      <c r="BJ147" s="105"/>
      <c r="BK147" s="105"/>
      <c r="BL147" s="105"/>
      <c r="BM147" s="105"/>
      <c r="BN147" s="105"/>
      <c r="BO147" s="105"/>
      <c r="BP147" s="105"/>
      <c r="BQ147" s="105"/>
      <c r="BR147" s="105"/>
      <c r="BS147" s="105"/>
      <c r="BT147" s="105"/>
      <c r="BU147" s="105"/>
      <c r="BV147" s="105"/>
      <c r="BW147" s="105"/>
      <c r="BX147" s="105"/>
      <c r="BY147" s="105"/>
      <c r="BZ147" s="105"/>
      <c r="CA147" s="105"/>
      <c r="CB147" s="105"/>
      <c r="CC147" s="105"/>
      <c r="CD147" s="105"/>
      <c r="CE147" s="105"/>
      <c r="CF147" s="105"/>
      <c r="CG147" s="105"/>
      <c r="CH147" s="105"/>
      <c r="CI147" s="105"/>
      <c r="CJ147" s="105"/>
      <c r="CK147" s="105"/>
      <c r="CL147" s="105"/>
      <c r="CM147" s="105"/>
      <c r="CN147" s="105"/>
      <c r="CO147" s="105"/>
      <c r="CP147" s="105"/>
      <c r="CQ147" s="105"/>
      <c r="CR147" s="105"/>
      <c r="CS147" s="105"/>
      <c r="CT147" s="105"/>
      <c r="CU147" s="105"/>
      <c r="CV147" s="105"/>
      <c r="CW147" s="105"/>
      <c r="CX147" s="105"/>
      <c r="CY147" s="105"/>
      <c r="CZ147" s="104"/>
      <c r="DA147" s="105"/>
      <c r="DB147" s="105"/>
      <c r="DC147" s="105"/>
      <c r="DD147" s="105"/>
      <c r="DE147" s="105"/>
      <c r="DF147" s="105"/>
      <c r="DG147" s="105"/>
      <c r="DH147" s="105"/>
      <c r="DI147" s="105"/>
      <c r="DJ147" s="105"/>
      <c r="DK147" s="104"/>
      <c r="DL147" s="104"/>
    </row>
    <row r="148" ht="12.0" customHeight="1">
      <c r="A148" s="104"/>
      <c r="B148" s="104"/>
      <c r="C148" s="243"/>
      <c r="D148" s="243"/>
      <c r="E148" s="243"/>
      <c r="F148" s="243"/>
      <c r="G148" s="243"/>
      <c r="H148" s="243"/>
      <c r="I148" s="243"/>
      <c r="J148" s="243"/>
      <c r="K148" s="243"/>
      <c r="L148" s="243"/>
      <c r="M148" s="243"/>
      <c r="N148" s="243"/>
      <c r="O148" s="243"/>
      <c r="P148" s="243"/>
      <c r="Q148" s="243"/>
      <c r="R148" s="243"/>
      <c r="S148" s="243"/>
      <c r="T148" s="243"/>
      <c r="U148" s="243"/>
      <c r="V148" s="243"/>
      <c r="W148" s="243"/>
      <c r="X148" s="243"/>
      <c r="Y148" s="243"/>
      <c r="Z148" s="243"/>
      <c r="AA148" s="243"/>
      <c r="AB148" s="243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5"/>
      <c r="AW148" s="105"/>
      <c r="AX148" s="105"/>
      <c r="AY148" s="105"/>
      <c r="AZ148" s="105"/>
      <c r="BA148" s="105"/>
      <c r="BB148" s="105"/>
      <c r="BC148" s="105"/>
      <c r="BD148" s="105"/>
      <c r="BE148" s="105"/>
      <c r="BF148" s="105"/>
      <c r="BG148" s="105"/>
      <c r="BH148" s="105"/>
      <c r="BI148" s="105"/>
      <c r="BJ148" s="105"/>
      <c r="BK148" s="105"/>
      <c r="BL148" s="105"/>
      <c r="BM148" s="105"/>
      <c r="BN148" s="105"/>
      <c r="BO148" s="105"/>
      <c r="BP148" s="105"/>
      <c r="BQ148" s="105"/>
      <c r="BR148" s="105"/>
      <c r="BS148" s="105"/>
      <c r="BT148" s="105"/>
      <c r="BU148" s="105"/>
      <c r="BV148" s="105"/>
      <c r="BW148" s="105"/>
      <c r="BX148" s="105"/>
      <c r="BY148" s="105"/>
      <c r="BZ148" s="105"/>
      <c r="CA148" s="105"/>
      <c r="CB148" s="105"/>
      <c r="CC148" s="105"/>
      <c r="CD148" s="105"/>
      <c r="CE148" s="105"/>
      <c r="CF148" s="105"/>
      <c r="CG148" s="105"/>
      <c r="CH148" s="105"/>
      <c r="CI148" s="105"/>
      <c r="CJ148" s="105"/>
      <c r="CK148" s="105"/>
      <c r="CL148" s="105"/>
      <c r="CM148" s="105"/>
      <c r="CN148" s="105"/>
      <c r="CO148" s="105"/>
      <c r="CP148" s="105"/>
      <c r="CQ148" s="105"/>
      <c r="CR148" s="105"/>
      <c r="CS148" s="105"/>
      <c r="CT148" s="105"/>
      <c r="CU148" s="105"/>
      <c r="CV148" s="105"/>
      <c r="CW148" s="105"/>
      <c r="CX148" s="105"/>
      <c r="CY148" s="105"/>
      <c r="CZ148" s="104"/>
      <c r="DA148" s="105"/>
      <c r="DB148" s="105"/>
      <c r="DC148" s="105"/>
      <c r="DD148" s="105"/>
      <c r="DE148" s="105"/>
      <c r="DF148" s="105"/>
      <c r="DG148" s="105"/>
      <c r="DH148" s="105"/>
      <c r="DI148" s="105"/>
      <c r="DJ148" s="105"/>
      <c r="DK148" s="104"/>
      <c r="DL148" s="104"/>
    </row>
    <row r="149" ht="12.0" customHeight="1">
      <c r="A149" s="104"/>
      <c r="B149" s="104"/>
      <c r="C149" s="243"/>
      <c r="D149" s="243"/>
      <c r="E149" s="243"/>
      <c r="F149" s="243"/>
      <c r="G149" s="243"/>
      <c r="H149" s="243"/>
      <c r="I149" s="243"/>
      <c r="J149" s="243"/>
      <c r="K149" s="243"/>
      <c r="L149" s="243"/>
      <c r="M149" s="243"/>
      <c r="N149" s="243"/>
      <c r="O149" s="243"/>
      <c r="P149" s="243"/>
      <c r="Q149" s="243"/>
      <c r="R149" s="243"/>
      <c r="S149" s="243"/>
      <c r="T149" s="243"/>
      <c r="U149" s="243"/>
      <c r="V149" s="243"/>
      <c r="W149" s="243"/>
      <c r="X149" s="243"/>
      <c r="Y149" s="243"/>
      <c r="Z149" s="243"/>
      <c r="AA149" s="243"/>
      <c r="AB149" s="243"/>
      <c r="AC149" s="105"/>
      <c r="AD149" s="105"/>
      <c r="AE149" s="105"/>
      <c r="AF149" s="105"/>
      <c r="AG149" s="105"/>
      <c r="AH149" s="105"/>
      <c r="AI149" s="105"/>
      <c r="AJ149" s="105"/>
      <c r="AK149" s="105"/>
      <c r="AL149" s="105"/>
      <c r="AM149" s="105"/>
      <c r="AN149" s="105"/>
      <c r="AO149" s="105"/>
      <c r="AP149" s="105"/>
      <c r="AQ149" s="105"/>
      <c r="AR149" s="105"/>
      <c r="AS149" s="105"/>
      <c r="AT149" s="105"/>
      <c r="AU149" s="105"/>
      <c r="AV149" s="105"/>
      <c r="AW149" s="105"/>
      <c r="AX149" s="105"/>
      <c r="AY149" s="105"/>
      <c r="AZ149" s="105"/>
      <c r="BA149" s="105"/>
      <c r="BB149" s="105"/>
      <c r="BC149" s="105"/>
      <c r="BD149" s="105"/>
      <c r="BE149" s="105"/>
      <c r="BF149" s="105"/>
      <c r="BG149" s="105"/>
      <c r="BH149" s="105"/>
      <c r="BI149" s="105"/>
      <c r="BJ149" s="105"/>
      <c r="BK149" s="105"/>
      <c r="BL149" s="105"/>
      <c r="BM149" s="105"/>
      <c r="BN149" s="105"/>
      <c r="BO149" s="105"/>
      <c r="BP149" s="105"/>
      <c r="BQ149" s="105"/>
      <c r="BR149" s="105"/>
      <c r="BS149" s="105"/>
      <c r="BT149" s="105"/>
      <c r="BU149" s="105"/>
      <c r="BV149" s="105"/>
      <c r="BW149" s="105"/>
      <c r="BX149" s="105"/>
      <c r="BY149" s="105"/>
      <c r="BZ149" s="105"/>
      <c r="CA149" s="105"/>
      <c r="CB149" s="105"/>
      <c r="CC149" s="105"/>
      <c r="CD149" s="105"/>
      <c r="CE149" s="105"/>
      <c r="CF149" s="105"/>
      <c r="CG149" s="105"/>
      <c r="CH149" s="105"/>
      <c r="CI149" s="105"/>
      <c r="CJ149" s="105"/>
      <c r="CK149" s="105"/>
      <c r="CL149" s="105"/>
      <c r="CM149" s="105"/>
      <c r="CN149" s="105"/>
      <c r="CO149" s="105"/>
      <c r="CP149" s="105"/>
      <c r="CQ149" s="105"/>
      <c r="CR149" s="105"/>
      <c r="CS149" s="105"/>
      <c r="CT149" s="105"/>
      <c r="CU149" s="105"/>
      <c r="CV149" s="105"/>
      <c r="CW149" s="105"/>
      <c r="CX149" s="105"/>
      <c r="CY149" s="105"/>
      <c r="CZ149" s="104"/>
      <c r="DA149" s="105"/>
      <c r="DB149" s="105"/>
      <c r="DC149" s="105"/>
      <c r="DD149" s="105"/>
      <c r="DE149" s="105"/>
      <c r="DF149" s="105"/>
      <c r="DG149" s="105"/>
      <c r="DH149" s="105"/>
      <c r="DI149" s="105"/>
      <c r="DJ149" s="105"/>
      <c r="DK149" s="104"/>
      <c r="DL149" s="104"/>
    </row>
    <row r="150" ht="12.0" customHeight="1">
      <c r="A150" s="104"/>
      <c r="B150" s="104"/>
      <c r="C150" s="243"/>
      <c r="D150" s="243"/>
      <c r="E150" s="243"/>
      <c r="F150" s="243"/>
      <c r="G150" s="243"/>
      <c r="H150" s="243"/>
      <c r="I150" s="243"/>
      <c r="J150" s="243"/>
      <c r="K150" s="243"/>
      <c r="L150" s="243"/>
      <c r="M150" s="243"/>
      <c r="N150" s="243"/>
      <c r="O150" s="243"/>
      <c r="P150" s="243"/>
      <c r="Q150" s="243"/>
      <c r="R150" s="243"/>
      <c r="S150" s="243"/>
      <c r="T150" s="243"/>
      <c r="U150" s="243"/>
      <c r="V150" s="243"/>
      <c r="W150" s="243"/>
      <c r="X150" s="243"/>
      <c r="Y150" s="243"/>
      <c r="Z150" s="243"/>
      <c r="AA150" s="243"/>
      <c r="AB150" s="243"/>
      <c r="AC150" s="105"/>
      <c r="AD150" s="105"/>
      <c r="AE150" s="105"/>
      <c r="AF150" s="105"/>
      <c r="AG150" s="105"/>
      <c r="AH150" s="105"/>
      <c r="AI150" s="105"/>
      <c r="AJ150" s="105"/>
      <c r="AK150" s="105"/>
      <c r="AL150" s="105"/>
      <c r="AM150" s="105"/>
      <c r="AN150" s="105"/>
      <c r="AO150" s="105"/>
      <c r="AP150" s="105"/>
      <c r="AQ150" s="105"/>
      <c r="AR150" s="105"/>
      <c r="AS150" s="105"/>
      <c r="AT150" s="105"/>
      <c r="AU150" s="105"/>
      <c r="AV150" s="105"/>
      <c r="AW150" s="105"/>
      <c r="AX150" s="105"/>
      <c r="AY150" s="105"/>
      <c r="AZ150" s="105"/>
      <c r="BA150" s="105"/>
      <c r="BB150" s="105"/>
      <c r="BC150" s="105"/>
      <c r="BD150" s="105"/>
      <c r="BE150" s="105"/>
      <c r="BF150" s="105"/>
      <c r="BG150" s="105"/>
      <c r="BH150" s="105"/>
      <c r="BI150" s="105"/>
      <c r="BJ150" s="105"/>
      <c r="BK150" s="105"/>
      <c r="BL150" s="105"/>
      <c r="BM150" s="105"/>
      <c r="BN150" s="105"/>
      <c r="BO150" s="105"/>
      <c r="BP150" s="105"/>
      <c r="BQ150" s="105"/>
      <c r="BR150" s="105"/>
      <c r="BS150" s="105"/>
      <c r="BT150" s="105"/>
      <c r="BU150" s="105"/>
      <c r="BV150" s="105"/>
      <c r="BW150" s="105"/>
      <c r="BX150" s="105"/>
      <c r="BY150" s="105"/>
      <c r="BZ150" s="105"/>
      <c r="CA150" s="105"/>
      <c r="CB150" s="105"/>
      <c r="CC150" s="105"/>
      <c r="CD150" s="105"/>
      <c r="CE150" s="105"/>
      <c r="CF150" s="105"/>
      <c r="CG150" s="105"/>
      <c r="CH150" s="105"/>
      <c r="CI150" s="105"/>
      <c r="CJ150" s="105"/>
      <c r="CK150" s="105"/>
      <c r="CL150" s="105"/>
      <c r="CM150" s="105"/>
      <c r="CN150" s="105"/>
      <c r="CO150" s="105"/>
      <c r="CP150" s="105"/>
      <c r="CQ150" s="105"/>
      <c r="CR150" s="105"/>
      <c r="CS150" s="105"/>
      <c r="CT150" s="105"/>
      <c r="CU150" s="105"/>
      <c r="CV150" s="105"/>
      <c r="CW150" s="105"/>
      <c r="CX150" s="105"/>
      <c r="CY150" s="105"/>
      <c r="CZ150" s="104"/>
      <c r="DA150" s="105"/>
      <c r="DB150" s="105"/>
      <c r="DC150" s="105"/>
      <c r="DD150" s="105"/>
      <c r="DE150" s="105"/>
      <c r="DF150" s="105"/>
      <c r="DG150" s="105"/>
      <c r="DH150" s="105"/>
      <c r="DI150" s="105"/>
      <c r="DJ150" s="105"/>
      <c r="DK150" s="104"/>
      <c r="DL150" s="104"/>
    </row>
    <row r="151" ht="12.0" customHeight="1">
      <c r="A151" s="104"/>
      <c r="B151" s="104"/>
      <c r="C151" s="243"/>
      <c r="D151" s="243"/>
      <c r="E151" s="243"/>
      <c r="F151" s="243"/>
      <c r="G151" s="243"/>
      <c r="H151" s="243"/>
      <c r="I151" s="243"/>
      <c r="J151" s="243"/>
      <c r="K151" s="243"/>
      <c r="L151" s="243"/>
      <c r="M151" s="243"/>
      <c r="N151" s="243"/>
      <c r="O151" s="243"/>
      <c r="P151" s="243"/>
      <c r="Q151" s="243"/>
      <c r="R151" s="243"/>
      <c r="S151" s="243"/>
      <c r="T151" s="243"/>
      <c r="U151" s="243"/>
      <c r="V151" s="243"/>
      <c r="W151" s="243"/>
      <c r="X151" s="243"/>
      <c r="Y151" s="243"/>
      <c r="Z151" s="243"/>
      <c r="AA151" s="243"/>
      <c r="AB151" s="243"/>
      <c r="AC151" s="105"/>
      <c r="AD151" s="105"/>
      <c r="AE151" s="105"/>
      <c r="AF151" s="105"/>
      <c r="AG151" s="105"/>
      <c r="AH151" s="105"/>
      <c r="AI151" s="105"/>
      <c r="AJ151" s="105"/>
      <c r="AK151" s="105"/>
      <c r="AL151" s="105"/>
      <c r="AM151" s="105"/>
      <c r="AN151" s="105"/>
      <c r="AO151" s="105"/>
      <c r="AP151" s="105"/>
      <c r="AQ151" s="105"/>
      <c r="AR151" s="105"/>
      <c r="AS151" s="105"/>
      <c r="AT151" s="105"/>
      <c r="AU151" s="105"/>
      <c r="AV151" s="105"/>
      <c r="AW151" s="105"/>
      <c r="AX151" s="105"/>
      <c r="AY151" s="105"/>
      <c r="AZ151" s="105"/>
      <c r="BA151" s="105"/>
      <c r="BB151" s="105"/>
      <c r="BC151" s="105"/>
      <c r="BD151" s="105"/>
      <c r="BE151" s="105"/>
      <c r="BF151" s="105"/>
      <c r="BG151" s="105"/>
      <c r="BH151" s="105"/>
      <c r="BI151" s="105"/>
      <c r="BJ151" s="105"/>
      <c r="BK151" s="105"/>
      <c r="BL151" s="105"/>
      <c r="BM151" s="105"/>
      <c r="BN151" s="105"/>
      <c r="BO151" s="105"/>
      <c r="BP151" s="105"/>
      <c r="BQ151" s="105"/>
      <c r="BR151" s="105"/>
      <c r="BS151" s="105"/>
      <c r="BT151" s="105"/>
      <c r="BU151" s="105"/>
      <c r="BV151" s="105"/>
      <c r="BW151" s="105"/>
      <c r="BX151" s="105"/>
      <c r="BY151" s="105"/>
      <c r="BZ151" s="105"/>
      <c r="CA151" s="105"/>
      <c r="CB151" s="105"/>
      <c r="CC151" s="105"/>
      <c r="CD151" s="105"/>
      <c r="CE151" s="105"/>
      <c r="CF151" s="105"/>
      <c r="CG151" s="105"/>
      <c r="CH151" s="105"/>
      <c r="CI151" s="105"/>
      <c r="CJ151" s="105"/>
      <c r="CK151" s="105"/>
      <c r="CL151" s="105"/>
      <c r="CM151" s="105"/>
      <c r="CN151" s="105"/>
      <c r="CO151" s="105"/>
      <c r="CP151" s="105"/>
      <c r="CQ151" s="105"/>
      <c r="CR151" s="105"/>
      <c r="CS151" s="105"/>
      <c r="CT151" s="105"/>
      <c r="CU151" s="105"/>
      <c r="CV151" s="105"/>
      <c r="CW151" s="105"/>
      <c r="CX151" s="105"/>
      <c r="CY151" s="105"/>
      <c r="CZ151" s="104"/>
      <c r="DA151" s="105"/>
      <c r="DB151" s="105"/>
      <c r="DC151" s="105"/>
      <c r="DD151" s="105"/>
      <c r="DE151" s="105"/>
      <c r="DF151" s="105"/>
      <c r="DG151" s="105"/>
      <c r="DH151" s="105"/>
      <c r="DI151" s="105"/>
      <c r="DJ151" s="105"/>
      <c r="DK151" s="104"/>
      <c r="DL151" s="104"/>
    </row>
    <row r="152" ht="12.0" customHeight="1">
      <c r="A152" s="104"/>
      <c r="B152" s="104"/>
      <c r="C152" s="243"/>
      <c r="D152" s="243"/>
      <c r="E152" s="243"/>
      <c r="F152" s="243"/>
      <c r="G152" s="243"/>
      <c r="H152" s="243"/>
      <c r="I152" s="243"/>
      <c r="J152" s="243"/>
      <c r="K152" s="243"/>
      <c r="L152" s="243"/>
      <c r="M152" s="243"/>
      <c r="N152" s="243"/>
      <c r="O152" s="243"/>
      <c r="P152" s="243"/>
      <c r="Q152" s="243"/>
      <c r="R152" s="243"/>
      <c r="S152" s="243"/>
      <c r="T152" s="243"/>
      <c r="U152" s="243"/>
      <c r="V152" s="243"/>
      <c r="W152" s="243"/>
      <c r="X152" s="243"/>
      <c r="Y152" s="243"/>
      <c r="Z152" s="243"/>
      <c r="AA152" s="243"/>
      <c r="AB152" s="243"/>
      <c r="AC152" s="105"/>
      <c r="AD152" s="105"/>
      <c r="AE152" s="105"/>
      <c r="AF152" s="105"/>
      <c r="AG152" s="105"/>
      <c r="AH152" s="105"/>
      <c r="AI152" s="105"/>
      <c r="AJ152" s="105"/>
      <c r="AK152" s="105"/>
      <c r="AL152" s="105"/>
      <c r="AM152" s="105"/>
      <c r="AN152" s="105"/>
      <c r="AO152" s="105"/>
      <c r="AP152" s="105"/>
      <c r="AQ152" s="105"/>
      <c r="AR152" s="105"/>
      <c r="AS152" s="105"/>
      <c r="AT152" s="105"/>
      <c r="AU152" s="105"/>
      <c r="AV152" s="105"/>
      <c r="AW152" s="105"/>
      <c r="AX152" s="105"/>
      <c r="AY152" s="105"/>
      <c r="AZ152" s="105"/>
      <c r="BA152" s="105"/>
      <c r="BB152" s="105"/>
      <c r="BC152" s="105"/>
      <c r="BD152" s="105"/>
      <c r="BE152" s="105"/>
      <c r="BF152" s="105"/>
      <c r="BG152" s="105"/>
      <c r="BH152" s="105"/>
      <c r="BI152" s="105"/>
      <c r="BJ152" s="105"/>
      <c r="BK152" s="105"/>
      <c r="BL152" s="105"/>
      <c r="BM152" s="105"/>
      <c r="BN152" s="105"/>
      <c r="BO152" s="105"/>
      <c r="BP152" s="105"/>
      <c r="BQ152" s="105"/>
      <c r="BR152" s="105"/>
      <c r="BS152" s="105"/>
      <c r="BT152" s="105"/>
      <c r="BU152" s="105"/>
      <c r="BV152" s="105"/>
      <c r="BW152" s="105"/>
      <c r="BX152" s="105"/>
      <c r="BY152" s="105"/>
      <c r="BZ152" s="105"/>
      <c r="CA152" s="105"/>
      <c r="CB152" s="105"/>
      <c r="CC152" s="105"/>
      <c r="CD152" s="105"/>
      <c r="CE152" s="105"/>
      <c r="CF152" s="105"/>
      <c r="CG152" s="105"/>
      <c r="CH152" s="105"/>
      <c r="CI152" s="105"/>
      <c r="CJ152" s="105"/>
      <c r="CK152" s="105"/>
      <c r="CL152" s="105"/>
      <c r="CM152" s="105"/>
      <c r="CN152" s="105"/>
      <c r="CO152" s="105"/>
      <c r="CP152" s="105"/>
      <c r="CQ152" s="105"/>
      <c r="CR152" s="105"/>
      <c r="CS152" s="105"/>
      <c r="CT152" s="105"/>
      <c r="CU152" s="105"/>
      <c r="CV152" s="105"/>
      <c r="CW152" s="105"/>
      <c r="CX152" s="105"/>
      <c r="CY152" s="105"/>
      <c r="CZ152" s="104"/>
      <c r="DA152" s="105"/>
      <c r="DB152" s="105"/>
      <c r="DC152" s="105"/>
      <c r="DD152" s="105"/>
      <c r="DE152" s="105"/>
      <c r="DF152" s="105"/>
      <c r="DG152" s="105"/>
      <c r="DH152" s="105"/>
      <c r="DI152" s="105"/>
      <c r="DJ152" s="105"/>
      <c r="DK152" s="104"/>
      <c r="DL152" s="104"/>
    </row>
    <row r="153" ht="12.0" customHeight="1">
      <c r="A153" s="104"/>
      <c r="B153" s="104"/>
      <c r="C153" s="243"/>
      <c r="D153" s="243"/>
      <c r="E153" s="243"/>
      <c r="F153" s="243"/>
      <c r="G153" s="243"/>
      <c r="H153" s="243"/>
      <c r="I153" s="243"/>
      <c r="J153" s="243"/>
      <c r="K153" s="243"/>
      <c r="L153" s="243"/>
      <c r="M153" s="243"/>
      <c r="N153" s="243"/>
      <c r="O153" s="243"/>
      <c r="P153" s="243"/>
      <c r="Q153" s="243"/>
      <c r="R153" s="243"/>
      <c r="S153" s="243"/>
      <c r="T153" s="243"/>
      <c r="U153" s="243"/>
      <c r="V153" s="243"/>
      <c r="W153" s="243"/>
      <c r="X153" s="243"/>
      <c r="Y153" s="243"/>
      <c r="Z153" s="243"/>
      <c r="AA153" s="243"/>
      <c r="AB153" s="243"/>
      <c r="AC153" s="105"/>
      <c r="AD153" s="105"/>
      <c r="AE153" s="105"/>
      <c r="AF153" s="105"/>
      <c r="AG153" s="105"/>
      <c r="AH153" s="105"/>
      <c r="AI153" s="105"/>
      <c r="AJ153" s="105"/>
      <c r="AK153" s="105"/>
      <c r="AL153" s="105"/>
      <c r="AM153" s="105"/>
      <c r="AN153" s="105"/>
      <c r="AO153" s="105"/>
      <c r="AP153" s="105"/>
      <c r="AQ153" s="105"/>
      <c r="AR153" s="105"/>
      <c r="AS153" s="105"/>
      <c r="AT153" s="105"/>
      <c r="AU153" s="105"/>
      <c r="AV153" s="105"/>
      <c r="AW153" s="105"/>
      <c r="AX153" s="105"/>
      <c r="AY153" s="105"/>
      <c r="AZ153" s="105"/>
      <c r="BA153" s="105"/>
      <c r="BB153" s="105"/>
      <c r="BC153" s="105"/>
      <c r="BD153" s="105"/>
      <c r="BE153" s="105"/>
      <c r="BF153" s="105"/>
      <c r="BG153" s="105"/>
      <c r="BH153" s="105"/>
      <c r="BI153" s="105"/>
      <c r="BJ153" s="105"/>
      <c r="BK153" s="105"/>
      <c r="BL153" s="105"/>
      <c r="BM153" s="105"/>
      <c r="BN153" s="105"/>
      <c r="BO153" s="105"/>
      <c r="BP153" s="105"/>
      <c r="BQ153" s="105"/>
      <c r="BR153" s="105"/>
      <c r="BS153" s="105"/>
      <c r="BT153" s="105"/>
      <c r="BU153" s="105"/>
      <c r="BV153" s="105"/>
      <c r="BW153" s="105"/>
      <c r="BX153" s="105"/>
      <c r="BY153" s="105"/>
      <c r="BZ153" s="105"/>
      <c r="CA153" s="105"/>
      <c r="CB153" s="105"/>
      <c r="CC153" s="105"/>
      <c r="CD153" s="105"/>
      <c r="CE153" s="105"/>
      <c r="CF153" s="105"/>
      <c r="CG153" s="105"/>
      <c r="CH153" s="105"/>
      <c r="CI153" s="105"/>
      <c r="CJ153" s="105"/>
      <c r="CK153" s="105"/>
      <c r="CL153" s="105"/>
      <c r="CM153" s="105"/>
      <c r="CN153" s="105"/>
      <c r="CO153" s="105"/>
      <c r="CP153" s="105"/>
      <c r="CQ153" s="105"/>
      <c r="CR153" s="105"/>
      <c r="CS153" s="105"/>
      <c r="CT153" s="105"/>
      <c r="CU153" s="105"/>
      <c r="CV153" s="105"/>
      <c r="CW153" s="105"/>
      <c r="CX153" s="105"/>
      <c r="CY153" s="105"/>
      <c r="CZ153" s="104"/>
      <c r="DA153" s="105"/>
      <c r="DB153" s="105"/>
      <c r="DC153" s="105"/>
      <c r="DD153" s="105"/>
      <c r="DE153" s="105"/>
      <c r="DF153" s="105"/>
      <c r="DG153" s="105"/>
      <c r="DH153" s="105"/>
      <c r="DI153" s="105"/>
      <c r="DJ153" s="105"/>
      <c r="DK153" s="104"/>
      <c r="DL153" s="104"/>
    </row>
    <row r="154" ht="12.0" customHeight="1">
      <c r="A154" s="104"/>
      <c r="B154" s="104"/>
      <c r="C154" s="243"/>
      <c r="D154" s="243"/>
      <c r="E154" s="243"/>
      <c r="F154" s="243"/>
      <c r="G154" s="243"/>
      <c r="H154" s="243"/>
      <c r="I154" s="243"/>
      <c r="J154" s="243"/>
      <c r="K154" s="243"/>
      <c r="L154" s="243"/>
      <c r="M154" s="243"/>
      <c r="N154" s="243"/>
      <c r="O154" s="243"/>
      <c r="P154" s="243"/>
      <c r="Q154" s="243"/>
      <c r="R154" s="243"/>
      <c r="S154" s="243"/>
      <c r="T154" s="243"/>
      <c r="U154" s="243"/>
      <c r="V154" s="243"/>
      <c r="W154" s="243"/>
      <c r="X154" s="243"/>
      <c r="Y154" s="243"/>
      <c r="Z154" s="243"/>
      <c r="AA154" s="243"/>
      <c r="AB154" s="243"/>
      <c r="AC154" s="105"/>
      <c r="AD154" s="105"/>
      <c r="AE154" s="105"/>
      <c r="AF154" s="105"/>
      <c r="AG154" s="105"/>
      <c r="AH154" s="105"/>
      <c r="AI154" s="105"/>
      <c r="AJ154" s="105"/>
      <c r="AK154" s="105"/>
      <c r="AL154" s="105"/>
      <c r="AM154" s="105"/>
      <c r="AN154" s="105"/>
      <c r="AO154" s="105"/>
      <c r="AP154" s="105"/>
      <c r="AQ154" s="105"/>
      <c r="AR154" s="105"/>
      <c r="AS154" s="105"/>
      <c r="AT154" s="105"/>
      <c r="AU154" s="105"/>
      <c r="AV154" s="105"/>
      <c r="AW154" s="105"/>
      <c r="AX154" s="105"/>
      <c r="AY154" s="105"/>
      <c r="AZ154" s="105"/>
      <c r="BA154" s="105"/>
      <c r="BB154" s="105"/>
      <c r="BC154" s="105"/>
      <c r="BD154" s="105"/>
      <c r="BE154" s="105"/>
      <c r="BF154" s="105"/>
      <c r="BG154" s="105"/>
      <c r="BH154" s="105"/>
      <c r="BI154" s="105"/>
      <c r="BJ154" s="105"/>
      <c r="BK154" s="105"/>
      <c r="BL154" s="105"/>
      <c r="BM154" s="105"/>
      <c r="BN154" s="105"/>
      <c r="BO154" s="105"/>
      <c r="BP154" s="105"/>
      <c r="BQ154" s="105"/>
      <c r="BR154" s="105"/>
      <c r="BS154" s="105"/>
      <c r="BT154" s="105"/>
      <c r="BU154" s="105"/>
      <c r="BV154" s="105"/>
      <c r="BW154" s="105"/>
      <c r="BX154" s="105"/>
      <c r="BY154" s="105"/>
      <c r="BZ154" s="105"/>
      <c r="CA154" s="105"/>
      <c r="CB154" s="105"/>
      <c r="CC154" s="105"/>
      <c r="CD154" s="105"/>
      <c r="CE154" s="105"/>
      <c r="CF154" s="105"/>
      <c r="CG154" s="105"/>
      <c r="CH154" s="105"/>
      <c r="CI154" s="105"/>
      <c r="CJ154" s="105"/>
      <c r="CK154" s="105"/>
      <c r="CL154" s="105"/>
      <c r="CM154" s="105"/>
      <c r="CN154" s="105"/>
      <c r="CO154" s="105"/>
      <c r="CP154" s="105"/>
      <c r="CQ154" s="105"/>
      <c r="CR154" s="105"/>
      <c r="CS154" s="105"/>
      <c r="CT154" s="105"/>
      <c r="CU154" s="105"/>
      <c r="CV154" s="105"/>
      <c r="CW154" s="105"/>
      <c r="CX154" s="105"/>
      <c r="CY154" s="105"/>
      <c r="CZ154" s="104"/>
      <c r="DA154" s="105"/>
      <c r="DB154" s="105"/>
      <c r="DC154" s="105"/>
      <c r="DD154" s="105"/>
      <c r="DE154" s="105"/>
      <c r="DF154" s="105"/>
      <c r="DG154" s="105"/>
      <c r="DH154" s="105"/>
      <c r="DI154" s="105"/>
      <c r="DJ154" s="105"/>
      <c r="DK154" s="104"/>
      <c r="DL154" s="104"/>
    </row>
    <row r="155" ht="12.0" customHeight="1">
      <c r="A155" s="104"/>
      <c r="B155" s="104"/>
      <c r="C155" s="243"/>
      <c r="D155" s="243"/>
      <c r="E155" s="243"/>
      <c r="F155" s="243"/>
      <c r="G155" s="243"/>
      <c r="H155" s="243"/>
      <c r="I155" s="243"/>
      <c r="J155" s="243"/>
      <c r="K155" s="243"/>
      <c r="L155" s="243"/>
      <c r="M155" s="243"/>
      <c r="N155" s="243"/>
      <c r="O155" s="243"/>
      <c r="P155" s="243"/>
      <c r="Q155" s="243"/>
      <c r="R155" s="243"/>
      <c r="S155" s="243"/>
      <c r="T155" s="243"/>
      <c r="U155" s="243"/>
      <c r="V155" s="243"/>
      <c r="W155" s="243"/>
      <c r="X155" s="243"/>
      <c r="Y155" s="243"/>
      <c r="Z155" s="243"/>
      <c r="AA155" s="243"/>
      <c r="AB155" s="243"/>
      <c r="AC155" s="105"/>
      <c r="AD155" s="105"/>
      <c r="AE155" s="105"/>
      <c r="AF155" s="105"/>
      <c r="AG155" s="105"/>
      <c r="AH155" s="105"/>
      <c r="AI155" s="105"/>
      <c r="AJ155" s="105"/>
      <c r="AK155" s="105"/>
      <c r="AL155" s="105"/>
      <c r="AM155" s="105"/>
      <c r="AN155" s="105"/>
      <c r="AO155" s="105"/>
      <c r="AP155" s="105"/>
      <c r="AQ155" s="105"/>
      <c r="AR155" s="105"/>
      <c r="AS155" s="105"/>
      <c r="AT155" s="105"/>
      <c r="AU155" s="105"/>
      <c r="AV155" s="105"/>
      <c r="AW155" s="105"/>
      <c r="AX155" s="105"/>
      <c r="AY155" s="105"/>
      <c r="AZ155" s="105"/>
      <c r="BA155" s="105"/>
      <c r="BB155" s="105"/>
      <c r="BC155" s="105"/>
      <c r="BD155" s="105"/>
      <c r="BE155" s="105"/>
      <c r="BF155" s="105"/>
      <c r="BG155" s="105"/>
      <c r="BH155" s="105"/>
      <c r="BI155" s="105"/>
      <c r="BJ155" s="105"/>
      <c r="BK155" s="105"/>
      <c r="BL155" s="105"/>
      <c r="BM155" s="105"/>
      <c r="BN155" s="105"/>
      <c r="BO155" s="105"/>
      <c r="BP155" s="105"/>
      <c r="BQ155" s="105"/>
      <c r="BR155" s="105"/>
      <c r="BS155" s="105"/>
      <c r="BT155" s="105"/>
      <c r="BU155" s="105"/>
      <c r="BV155" s="105"/>
      <c r="BW155" s="105"/>
      <c r="BX155" s="105"/>
      <c r="BY155" s="105"/>
      <c r="BZ155" s="105"/>
      <c r="CA155" s="105"/>
      <c r="CB155" s="105"/>
      <c r="CC155" s="105"/>
      <c r="CD155" s="105"/>
      <c r="CE155" s="105"/>
      <c r="CF155" s="105"/>
      <c r="CG155" s="105"/>
      <c r="CH155" s="105"/>
      <c r="CI155" s="105"/>
      <c r="CJ155" s="105"/>
      <c r="CK155" s="105"/>
      <c r="CL155" s="105"/>
      <c r="CM155" s="105"/>
      <c r="CN155" s="105"/>
      <c r="CO155" s="105"/>
      <c r="CP155" s="105"/>
      <c r="CQ155" s="105"/>
      <c r="CR155" s="105"/>
      <c r="CS155" s="105"/>
      <c r="CT155" s="105"/>
      <c r="CU155" s="105"/>
      <c r="CV155" s="105"/>
      <c r="CW155" s="105"/>
      <c r="CX155" s="105"/>
      <c r="CY155" s="105"/>
      <c r="CZ155" s="104"/>
      <c r="DA155" s="105"/>
      <c r="DB155" s="105"/>
      <c r="DC155" s="105"/>
      <c r="DD155" s="105"/>
      <c r="DE155" s="105"/>
      <c r="DF155" s="105"/>
      <c r="DG155" s="105"/>
      <c r="DH155" s="105"/>
      <c r="DI155" s="105"/>
      <c r="DJ155" s="105"/>
      <c r="DK155" s="104"/>
      <c r="DL155" s="104"/>
    </row>
    <row r="156" ht="12.0" customHeight="1">
      <c r="A156" s="104"/>
      <c r="B156" s="104"/>
      <c r="C156" s="243"/>
      <c r="D156" s="243"/>
      <c r="E156" s="243"/>
      <c r="F156" s="243"/>
      <c r="G156" s="243"/>
      <c r="H156" s="243"/>
      <c r="I156" s="243"/>
      <c r="J156" s="243"/>
      <c r="K156" s="243"/>
      <c r="L156" s="243"/>
      <c r="M156" s="243"/>
      <c r="N156" s="243"/>
      <c r="O156" s="243"/>
      <c r="P156" s="243"/>
      <c r="Q156" s="243"/>
      <c r="R156" s="243"/>
      <c r="S156" s="243"/>
      <c r="T156" s="243"/>
      <c r="U156" s="243"/>
      <c r="V156" s="243"/>
      <c r="W156" s="243"/>
      <c r="X156" s="243"/>
      <c r="Y156" s="243"/>
      <c r="Z156" s="243"/>
      <c r="AA156" s="243"/>
      <c r="AB156" s="243"/>
      <c r="AC156" s="105"/>
      <c r="AD156" s="105"/>
      <c r="AE156" s="105"/>
      <c r="AF156" s="105"/>
      <c r="AG156" s="105"/>
      <c r="AH156" s="105"/>
      <c r="AI156" s="105"/>
      <c r="AJ156" s="105"/>
      <c r="AK156" s="105"/>
      <c r="AL156" s="105"/>
      <c r="AM156" s="105"/>
      <c r="AN156" s="105"/>
      <c r="AO156" s="105"/>
      <c r="AP156" s="105"/>
      <c r="AQ156" s="105"/>
      <c r="AR156" s="105"/>
      <c r="AS156" s="105"/>
      <c r="AT156" s="105"/>
      <c r="AU156" s="105"/>
      <c r="AV156" s="105"/>
      <c r="AW156" s="105"/>
      <c r="AX156" s="105"/>
      <c r="AY156" s="105"/>
      <c r="AZ156" s="105"/>
      <c r="BA156" s="105"/>
      <c r="BB156" s="105"/>
      <c r="BC156" s="105"/>
      <c r="BD156" s="105"/>
      <c r="BE156" s="105"/>
      <c r="BF156" s="105"/>
      <c r="BG156" s="105"/>
      <c r="BH156" s="105"/>
      <c r="BI156" s="105"/>
      <c r="BJ156" s="105"/>
      <c r="BK156" s="105"/>
      <c r="BL156" s="105"/>
      <c r="BM156" s="105"/>
      <c r="BN156" s="105"/>
      <c r="BO156" s="105"/>
      <c r="BP156" s="105"/>
      <c r="BQ156" s="105"/>
      <c r="BR156" s="105"/>
      <c r="BS156" s="105"/>
      <c r="BT156" s="105"/>
      <c r="BU156" s="105"/>
      <c r="BV156" s="105"/>
      <c r="BW156" s="105"/>
      <c r="BX156" s="105"/>
      <c r="BY156" s="105"/>
      <c r="BZ156" s="105"/>
      <c r="CA156" s="105"/>
      <c r="CB156" s="105"/>
      <c r="CC156" s="105"/>
      <c r="CD156" s="105"/>
      <c r="CE156" s="105"/>
      <c r="CF156" s="105"/>
      <c r="CG156" s="105"/>
      <c r="CH156" s="105"/>
      <c r="CI156" s="105"/>
      <c r="CJ156" s="105"/>
      <c r="CK156" s="105"/>
      <c r="CL156" s="105"/>
      <c r="CM156" s="105"/>
      <c r="CN156" s="105"/>
      <c r="CO156" s="105"/>
      <c r="CP156" s="105"/>
      <c r="CQ156" s="105"/>
      <c r="CR156" s="105"/>
      <c r="CS156" s="105"/>
      <c r="CT156" s="105"/>
      <c r="CU156" s="105"/>
      <c r="CV156" s="105"/>
      <c r="CW156" s="105"/>
      <c r="CX156" s="105"/>
      <c r="CY156" s="105"/>
      <c r="CZ156" s="104"/>
      <c r="DA156" s="105"/>
      <c r="DB156" s="105"/>
      <c r="DC156" s="105"/>
      <c r="DD156" s="105"/>
      <c r="DE156" s="105"/>
      <c r="DF156" s="105"/>
      <c r="DG156" s="105"/>
      <c r="DH156" s="105"/>
      <c r="DI156" s="105"/>
      <c r="DJ156" s="105"/>
      <c r="DK156" s="104"/>
      <c r="DL156" s="104"/>
    </row>
    <row r="157" ht="12.0" customHeight="1">
      <c r="A157" s="104"/>
      <c r="B157" s="104"/>
      <c r="C157" s="243"/>
      <c r="D157" s="243"/>
      <c r="E157" s="243"/>
      <c r="F157" s="243"/>
      <c r="G157" s="243"/>
      <c r="H157" s="243"/>
      <c r="I157" s="243"/>
      <c r="J157" s="243"/>
      <c r="K157" s="243"/>
      <c r="L157" s="243"/>
      <c r="M157" s="243"/>
      <c r="N157" s="243"/>
      <c r="O157" s="243"/>
      <c r="P157" s="243"/>
      <c r="Q157" s="243"/>
      <c r="R157" s="243"/>
      <c r="S157" s="243"/>
      <c r="T157" s="243"/>
      <c r="U157" s="243"/>
      <c r="V157" s="243"/>
      <c r="W157" s="243"/>
      <c r="X157" s="243"/>
      <c r="Y157" s="243"/>
      <c r="Z157" s="243"/>
      <c r="AA157" s="243"/>
      <c r="AB157" s="243"/>
      <c r="AC157" s="105"/>
      <c r="AD157" s="105"/>
      <c r="AE157" s="105"/>
      <c r="AF157" s="105"/>
      <c r="AG157" s="105"/>
      <c r="AH157" s="105"/>
      <c r="AI157" s="105"/>
      <c r="AJ157" s="105"/>
      <c r="AK157" s="105"/>
      <c r="AL157" s="105"/>
      <c r="AM157" s="105"/>
      <c r="AN157" s="105"/>
      <c r="AO157" s="105"/>
      <c r="AP157" s="105"/>
      <c r="AQ157" s="105"/>
      <c r="AR157" s="105"/>
      <c r="AS157" s="105"/>
      <c r="AT157" s="105"/>
      <c r="AU157" s="105"/>
      <c r="AV157" s="105"/>
      <c r="AW157" s="105"/>
      <c r="AX157" s="105"/>
      <c r="AY157" s="105"/>
      <c r="AZ157" s="105"/>
      <c r="BA157" s="105"/>
      <c r="BB157" s="105"/>
      <c r="BC157" s="105"/>
      <c r="BD157" s="105"/>
      <c r="BE157" s="105"/>
      <c r="BF157" s="105"/>
      <c r="BG157" s="105"/>
      <c r="BH157" s="105"/>
      <c r="BI157" s="105"/>
      <c r="BJ157" s="105"/>
      <c r="BK157" s="105"/>
      <c r="BL157" s="105"/>
      <c r="BM157" s="105"/>
      <c r="BN157" s="105"/>
      <c r="BO157" s="105"/>
      <c r="BP157" s="105"/>
      <c r="BQ157" s="105"/>
      <c r="BR157" s="105"/>
      <c r="BS157" s="105"/>
      <c r="BT157" s="105"/>
      <c r="BU157" s="105"/>
      <c r="BV157" s="105"/>
      <c r="BW157" s="105"/>
      <c r="BX157" s="105"/>
      <c r="BY157" s="105"/>
      <c r="BZ157" s="105"/>
      <c r="CA157" s="105"/>
      <c r="CB157" s="105"/>
      <c r="CC157" s="105"/>
      <c r="CD157" s="105"/>
      <c r="CE157" s="105"/>
      <c r="CF157" s="105"/>
      <c r="CG157" s="105"/>
      <c r="CH157" s="105"/>
      <c r="CI157" s="105"/>
      <c r="CJ157" s="105"/>
      <c r="CK157" s="105"/>
      <c r="CL157" s="105"/>
      <c r="CM157" s="105"/>
      <c r="CN157" s="105"/>
      <c r="CO157" s="105"/>
      <c r="CP157" s="105"/>
      <c r="CQ157" s="105"/>
      <c r="CR157" s="105"/>
      <c r="CS157" s="105"/>
      <c r="CT157" s="105"/>
      <c r="CU157" s="105"/>
      <c r="CV157" s="105"/>
      <c r="CW157" s="105"/>
      <c r="CX157" s="105"/>
      <c r="CY157" s="105"/>
      <c r="CZ157" s="104"/>
      <c r="DA157" s="105"/>
      <c r="DB157" s="105"/>
      <c r="DC157" s="105"/>
      <c r="DD157" s="105"/>
      <c r="DE157" s="105"/>
      <c r="DF157" s="105"/>
      <c r="DG157" s="105"/>
      <c r="DH157" s="105"/>
      <c r="DI157" s="105"/>
      <c r="DJ157" s="105"/>
      <c r="DK157" s="104"/>
      <c r="DL157" s="104"/>
    </row>
    <row r="158" ht="12.0" customHeight="1">
      <c r="A158" s="104"/>
      <c r="B158" s="104"/>
      <c r="C158" s="243"/>
      <c r="D158" s="243"/>
      <c r="E158" s="243"/>
      <c r="F158" s="243"/>
      <c r="G158" s="243"/>
      <c r="H158" s="243"/>
      <c r="I158" s="243"/>
      <c r="J158" s="243"/>
      <c r="K158" s="243"/>
      <c r="L158" s="243"/>
      <c r="M158" s="243"/>
      <c r="N158" s="243"/>
      <c r="O158" s="243"/>
      <c r="P158" s="243"/>
      <c r="Q158" s="243"/>
      <c r="R158" s="243"/>
      <c r="S158" s="243"/>
      <c r="T158" s="243"/>
      <c r="U158" s="243"/>
      <c r="V158" s="243"/>
      <c r="W158" s="243"/>
      <c r="X158" s="243"/>
      <c r="Y158" s="243"/>
      <c r="Z158" s="243"/>
      <c r="AA158" s="243"/>
      <c r="AB158" s="243"/>
      <c r="AC158" s="105"/>
      <c r="AD158" s="105"/>
      <c r="AE158" s="105"/>
      <c r="AF158" s="105"/>
      <c r="AG158" s="105"/>
      <c r="AH158" s="105"/>
      <c r="AI158" s="105"/>
      <c r="AJ158" s="105"/>
      <c r="AK158" s="105"/>
      <c r="AL158" s="105"/>
      <c r="AM158" s="105"/>
      <c r="AN158" s="105"/>
      <c r="AO158" s="105"/>
      <c r="AP158" s="105"/>
      <c r="AQ158" s="105"/>
      <c r="AR158" s="105"/>
      <c r="AS158" s="105"/>
      <c r="AT158" s="105"/>
      <c r="AU158" s="105"/>
      <c r="AV158" s="105"/>
      <c r="AW158" s="105"/>
      <c r="AX158" s="105"/>
      <c r="AY158" s="105"/>
      <c r="AZ158" s="105"/>
      <c r="BA158" s="105"/>
      <c r="BB158" s="105"/>
      <c r="BC158" s="105"/>
      <c r="BD158" s="105"/>
      <c r="BE158" s="105"/>
      <c r="BF158" s="105"/>
      <c r="BG158" s="105"/>
      <c r="BH158" s="105"/>
      <c r="BI158" s="105"/>
      <c r="BJ158" s="105"/>
      <c r="BK158" s="105"/>
      <c r="BL158" s="105"/>
      <c r="BM158" s="105"/>
      <c r="BN158" s="105"/>
      <c r="BO158" s="105"/>
      <c r="BP158" s="105"/>
      <c r="BQ158" s="105"/>
      <c r="BR158" s="105"/>
      <c r="BS158" s="105"/>
      <c r="BT158" s="105"/>
      <c r="BU158" s="105"/>
      <c r="BV158" s="105"/>
      <c r="BW158" s="105"/>
      <c r="BX158" s="105"/>
      <c r="BY158" s="105"/>
      <c r="BZ158" s="105"/>
      <c r="CA158" s="105"/>
      <c r="CB158" s="105"/>
      <c r="CC158" s="105"/>
      <c r="CD158" s="105"/>
      <c r="CE158" s="105"/>
      <c r="CF158" s="105"/>
      <c r="CG158" s="105"/>
      <c r="CH158" s="105"/>
      <c r="CI158" s="105"/>
      <c r="CJ158" s="105"/>
      <c r="CK158" s="105"/>
      <c r="CL158" s="105"/>
      <c r="CM158" s="105"/>
      <c r="CN158" s="105"/>
      <c r="CO158" s="105"/>
      <c r="CP158" s="105"/>
      <c r="CQ158" s="105"/>
      <c r="CR158" s="105"/>
      <c r="CS158" s="105"/>
      <c r="CT158" s="105"/>
      <c r="CU158" s="105"/>
      <c r="CV158" s="105"/>
      <c r="CW158" s="105"/>
      <c r="CX158" s="105"/>
      <c r="CY158" s="105"/>
      <c r="CZ158" s="104"/>
      <c r="DA158" s="105"/>
      <c r="DB158" s="105"/>
      <c r="DC158" s="105"/>
      <c r="DD158" s="105"/>
      <c r="DE158" s="105"/>
      <c r="DF158" s="105"/>
      <c r="DG158" s="105"/>
      <c r="DH158" s="105"/>
      <c r="DI158" s="105"/>
      <c r="DJ158" s="105"/>
      <c r="DK158" s="104"/>
      <c r="DL158" s="104"/>
    </row>
    <row r="159" ht="12.0" customHeight="1">
      <c r="A159" s="104"/>
      <c r="B159" s="104"/>
      <c r="C159" s="243"/>
      <c r="D159" s="243"/>
      <c r="E159" s="243"/>
      <c r="F159" s="243"/>
      <c r="G159" s="243"/>
      <c r="H159" s="243"/>
      <c r="I159" s="243"/>
      <c r="J159" s="243"/>
      <c r="K159" s="243"/>
      <c r="L159" s="243"/>
      <c r="M159" s="243"/>
      <c r="N159" s="243"/>
      <c r="O159" s="243"/>
      <c r="P159" s="243"/>
      <c r="Q159" s="243"/>
      <c r="R159" s="243"/>
      <c r="S159" s="243"/>
      <c r="T159" s="243"/>
      <c r="U159" s="243"/>
      <c r="V159" s="243"/>
      <c r="W159" s="243"/>
      <c r="X159" s="243"/>
      <c r="Y159" s="243"/>
      <c r="Z159" s="243"/>
      <c r="AA159" s="243"/>
      <c r="AB159" s="243"/>
      <c r="AC159" s="105"/>
      <c r="AD159" s="105"/>
      <c r="AE159" s="105"/>
      <c r="AF159" s="105"/>
      <c r="AG159" s="105"/>
      <c r="AH159" s="105"/>
      <c r="AI159" s="105"/>
      <c r="AJ159" s="105"/>
      <c r="AK159" s="105"/>
      <c r="AL159" s="105"/>
      <c r="AM159" s="105"/>
      <c r="AN159" s="105"/>
      <c r="AO159" s="105"/>
      <c r="AP159" s="105"/>
      <c r="AQ159" s="105"/>
      <c r="AR159" s="105"/>
      <c r="AS159" s="105"/>
      <c r="AT159" s="105"/>
      <c r="AU159" s="105"/>
      <c r="AV159" s="105"/>
      <c r="AW159" s="105"/>
      <c r="AX159" s="105"/>
      <c r="AY159" s="105"/>
      <c r="AZ159" s="105"/>
      <c r="BA159" s="105"/>
      <c r="BB159" s="105"/>
      <c r="BC159" s="105"/>
      <c r="BD159" s="105"/>
      <c r="BE159" s="105"/>
      <c r="BF159" s="105"/>
      <c r="BG159" s="105"/>
      <c r="BH159" s="105"/>
      <c r="BI159" s="105"/>
      <c r="BJ159" s="105"/>
      <c r="BK159" s="105"/>
      <c r="BL159" s="105"/>
      <c r="BM159" s="105"/>
      <c r="BN159" s="105"/>
      <c r="BO159" s="105"/>
      <c r="BP159" s="105"/>
      <c r="BQ159" s="105"/>
      <c r="BR159" s="105"/>
      <c r="BS159" s="105"/>
      <c r="BT159" s="105"/>
      <c r="BU159" s="105"/>
      <c r="BV159" s="105"/>
      <c r="BW159" s="105"/>
      <c r="BX159" s="105"/>
      <c r="BY159" s="105"/>
      <c r="BZ159" s="105"/>
      <c r="CA159" s="105"/>
      <c r="CB159" s="105"/>
      <c r="CC159" s="105"/>
      <c r="CD159" s="105"/>
      <c r="CE159" s="105"/>
      <c r="CF159" s="105"/>
      <c r="CG159" s="105"/>
      <c r="CH159" s="105"/>
      <c r="CI159" s="105"/>
      <c r="CJ159" s="105"/>
      <c r="CK159" s="105"/>
      <c r="CL159" s="105"/>
      <c r="CM159" s="105"/>
      <c r="CN159" s="105"/>
      <c r="CO159" s="105"/>
      <c r="CP159" s="105"/>
      <c r="CQ159" s="105"/>
      <c r="CR159" s="105"/>
      <c r="CS159" s="105"/>
      <c r="CT159" s="105"/>
      <c r="CU159" s="105"/>
      <c r="CV159" s="105"/>
      <c r="CW159" s="105"/>
      <c r="CX159" s="105"/>
      <c r="CY159" s="105"/>
      <c r="CZ159" s="104"/>
      <c r="DA159" s="105"/>
      <c r="DB159" s="105"/>
      <c r="DC159" s="105"/>
      <c r="DD159" s="105"/>
      <c r="DE159" s="105"/>
      <c r="DF159" s="105"/>
      <c r="DG159" s="105"/>
      <c r="DH159" s="105"/>
      <c r="DI159" s="105"/>
      <c r="DJ159" s="105"/>
      <c r="DK159" s="104"/>
      <c r="DL159" s="104"/>
    </row>
    <row r="160" ht="12.0" customHeight="1">
      <c r="A160" s="104"/>
      <c r="B160" s="104"/>
      <c r="C160" s="243"/>
      <c r="D160" s="243"/>
      <c r="E160" s="243"/>
      <c r="F160" s="243"/>
      <c r="G160" s="243"/>
      <c r="H160" s="243"/>
      <c r="I160" s="243"/>
      <c r="J160" s="243"/>
      <c r="K160" s="243"/>
      <c r="L160" s="243"/>
      <c r="M160" s="243"/>
      <c r="N160" s="243"/>
      <c r="O160" s="243"/>
      <c r="P160" s="243"/>
      <c r="Q160" s="243"/>
      <c r="R160" s="243"/>
      <c r="S160" s="243"/>
      <c r="T160" s="243"/>
      <c r="U160" s="243"/>
      <c r="V160" s="243"/>
      <c r="W160" s="243"/>
      <c r="X160" s="243"/>
      <c r="Y160" s="243"/>
      <c r="Z160" s="243"/>
      <c r="AA160" s="243"/>
      <c r="AB160" s="243"/>
      <c r="AC160" s="105"/>
      <c r="AD160" s="105"/>
      <c r="AE160" s="105"/>
      <c r="AF160" s="105"/>
      <c r="AG160" s="105"/>
      <c r="AH160" s="105"/>
      <c r="AI160" s="105"/>
      <c r="AJ160" s="105"/>
      <c r="AK160" s="105"/>
      <c r="AL160" s="105"/>
      <c r="AM160" s="105"/>
      <c r="AN160" s="105"/>
      <c r="AO160" s="105"/>
      <c r="AP160" s="105"/>
      <c r="AQ160" s="105"/>
      <c r="AR160" s="105"/>
      <c r="AS160" s="105"/>
      <c r="AT160" s="105"/>
      <c r="AU160" s="105"/>
      <c r="AV160" s="105"/>
      <c r="AW160" s="105"/>
      <c r="AX160" s="105"/>
      <c r="AY160" s="105"/>
      <c r="AZ160" s="105"/>
      <c r="BA160" s="105"/>
      <c r="BB160" s="105"/>
      <c r="BC160" s="105"/>
      <c r="BD160" s="105"/>
      <c r="BE160" s="105"/>
      <c r="BF160" s="105"/>
      <c r="BG160" s="105"/>
      <c r="BH160" s="105"/>
      <c r="BI160" s="105"/>
      <c r="BJ160" s="105"/>
      <c r="BK160" s="105"/>
      <c r="BL160" s="105"/>
      <c r="BM160" s="105"/>
      <c r="BN160" s="105"/>
      <c r="BO160" s="105"/>
      <c r="BP160" s="105"/>
      <c r="BQ160" s="105"/>
      <c r="BR160" s="105"/>
      <c r="BS160" s="105"/>
      <c r="BT160" s="105"/>
      <c r="BU160" s="105"/>
      <c r="BV160" s="105"/>
      <c r="BW160" s="105"/>
      <c r="BX160" s="105"/>
      <c r="BY160" s="105"/>
      <c r="BZ160" s="105"/>
      <c r="CA160" s="105"/>
      <c r="CB160" s="105"/>
      <c r="CC160" s="105"/>
      <c r="CD160" s="105"/>
      <c r="CE160" s="105"/>
      <c r="CF160" s="105"/>
      <c r="CG160" s="105"/>
      <c r="CH160" s="105"/>
      <c r="CI160" s="105"/>
      <c r="CJ160" s="105"/>
      <c r="CK160" s="105"/>
      <c r="CL160" s="105"/>
      <c r="CM160" s="105"/>
      <c r="CN160" s="105"/>
      <c r="CO160" s="105"/>
      <c r="CP160" s="105"/>
      <c r="CQ160" s="105"/>
      <c r="CR160" s="105"/>
      <c r="CS160" s="105"/>
      <c r="CT160" s="105"/>
      <c r="CU160" s="105"/>
      <c r="CV160" s="105"/>
      <c r="CW160" s="105"/>
      <c r="CX160" s="105"/>
      <c r="CY160" s="105"/>
      <c r="CZ160" s="104"/>
      <c r="DA160" s="105"/>
      <c r="DB160" s="105"/>
      <c r="DC160" s="105"/>
      <c r="DD160" s="105"/>
      <c r="DE160" s="105"/>
      <c r="DF160" s="105"/>
      <c r="DG160" s="105"/>
      <c r="DH160" s="105"/>
      <c r="DI160" s="105"/>
      <c r="DJ160" s="105"/>
      <c r="DK160" s="104"/>
      <c r="DL160" s="104"/>
    </row>
    <row r="161" ht="12.0" customHeight="1">
      <c r="A161" s="104"/>
      <c r="B161" s="104"/>
      <c r="C161" s="243"/>
      <c r="D161" s="243"/>
      <c r="E161" s="243"/>
      <c r="F161" s="243"/>
      <c r="G161" s="243"/>
      <c r="H161" s="243"/>
      <c r="I161" s="243"/>
      <c r="J161" s="243"/>
      <c r="K161" s="243"/>
      <c r="L161" s="243"/>
      <c r="M161" s="243"/>
      <c r="N161" s="243"/>
      <c r="O161" s="243"/>
      <c r="P161" s="243"/>
      <c r="Q161" s="243"/>
      <c r="R161" s="243"/>
      <c r="S161" s="243"/>
      <c r="T161" s="243"/>
      <c r="U161" s="243"/>
      <c r="V161" s="243"/>
      <c r="W161" s="243"/>
      <c r="X161" s="243"/>
      <c r="Y161" s="243"/>
      <c r="Z161" s="243"/>
      <c r="AA161" s="243"/>
      <c r="AB161" s="243"/>
      <c r="AC161" s="105"/>
      <c r="AD161" s="105"/>
      <c r="AE161" s="105"/>
      <c r="AF161" s="105"/>
      <c r="AG161" s="105"/>
      <c r="AH161" s="105"/>
      <c r="AI161" s="105"/>
      <c r="AJ161" s="105"/>
      <c r="AK161" s="105"/>
      <c r="AL161" s="105"/>
      <c r="AM161" s="105"/>
      <c r="AN161" s="105"/>
      <c r="AO161" s="105"/>
      <c r="AP161" s="105"/>
      <c r="AQ161" s="105"/>
      <c r="AR161" s="105"/>
      <c r="AS161" s="105"/>
      <c r="AT161" s="105"/>
      <c r="AU161" s="105"/>
      <c r="AV161" s="105"/>
      <c r="AW161" s="105"/>
      <c r="AX161" s="105"/>
      <c r="AY161" s="105"/>
      <c r="AZ161" s="105"/>
      <c r="BA161" s="105"/>
      <c r="BB161" s="105"/>
      <c r="BC161" s="105"/>
      <c r="BD161" s="105"/>
      <c r="BE161" s="105"/>
      <c r="BF161" s="105"/>
      <c r="BG161" s="105"/>
      <c r="BH161" s="105"/>
      <c r="BI161" s="105"/>
      <c r="BJ161" s="105"/>
      <c r="BK161" s="105"/>
      <c r="BL161" s="105"/>
      <c r="BM161" s="105"/>
      <c r="BN161" s="105"/>
      <c r="BO161" s="105"/>
      <c r="BP161" s="105"/>
      <c r="BQ161" s="105"/>
      <c r="BR161" s="105"/>
      <c r="BS161" s="105"/>
      <c r="BT161" s="105"/>
      <c r="BU161" s="105"/>
      <c r="BV161" s="105"/>
      <c r="BW161" s="105"/>
      <c r="BX161" s="105"/>
      <c r="BY161" s="105"/>
      <c r="BZ161" s="105"/>
      <c r="CA161" s="105"/>
      <c r="CB161" s="105"/>
      <c r="CC161" s="105"/>
      <c r="CD161" s="105"/>
      <c r="CE161" s="105"/>
      <c r="CF161" s="105"/>
      <c r="CG161" s="105"/>
      <c r="CH161" s="105"/>
      <c r="CI161" s="105"/>
      <c r="CJ161" s="105"/>
      <c r="CK161" s="105"/>
      <c r="CL161" s="105"/>
      <c r="CM161" s="105"/>
      <c r="CN161" s="105"/>
      <c r="CO161" s="105"/>
      <c r="CP161" s="105"/>
      <c r="CQ161" s="105"/>
      <c r="CR161" s="105"/>
      <c r="CS161" s="105"/>
      <c r="CT161" s="105"/>
      <c r="CU161" s="105"/>
      <c r="CV161" s="105"/>
      <c r="CW161" s="105"/>
      <c r="CX161" s="105"/>
      <c r="CY161" s="105"/>
      <c r="CZ161" s="104"/>
      <c r="DA161" s="105"/>
      <c r="DB161" s="105"/>
      <c r="DC161" s="105"/>
      <c r="DD161" s="105"/>
      <c r="DE161" s="105"/>
      <c r="DF161" s="105"/>
      <c r="DG161" s="105"/>
      <c r="DH161" s="105"/>
      <c r="DI161" s="105"/>
      <c r="DJ161" s="105"/>
      <c r="DK161" s="104"/>
      <c r="DL161" s="104"/>
    </row>
    <row r="162" ht="12.0" customHeight="1">
      <c r="A162" s="104"/>
      <c r="B162" s="104"/>
      <c r="C162" s="243"/>
      <c r="D162" s="243"/>
      <c r="E162" s="243"/>
      <c r="F162" s="243"/>
      <c r="G162" s="243"/>
      <c r="H162" s="243"/>
      <c r="I162" s="243"/>
      <c r="J162" s="243"/>
      <c r="K162" s="243"/>
      <c r="L162" s="243"/>
      <c r="M162" s="243"/>
      <c r="N162" s="243"/>
      <c r="O162" s="243"/>
      <c r="P162" s="243"/>
      <c r="Q162" s="243"/>
      <c r="R162" s="243"/>
      <c r="S162" s="243"/>
      <c r="T162" s="243"/>
      <c r="U162" s="243"/>
      <c r="V162" s="243"/>
      <c r="W162" s="243"/>
      <c r="X162" s="243"/>
      <c r="Y162" s="243"/>
      <c r="Z162" s="243"/>
      <c r="AA162" s="243"/>
      <c r="AB162" s="243"/>
      <c r="AC162" s="105"/>
      <c r="AD162" s="105"/>
      <c r="AE162" s="105"/>
      <c r="AF162" s="105"/>
      <c r="AG162" s="105"/>
      <c r="AH162" s="105"/>
      <c r="AI162" s="105"/>
      <c r="AJ162" s="105"/>
      <c r="AK162" s="105"/>
      <c r="AL162" s="105"/>
      <c r="AM162" s="105"/>
      <c r="AN162" s="105"/>
      <c r="AO162" s="105"/>
      <c r="AP162" s="105"/>
      <c r="AQ162" s="105"/>
      <c r="AR162" s="105"/>
      <c r="AS162" s="105"/>
      <c r="AT162" s="105"/>
      <c r="AU162" s="105"/>
      <c r="AV162" s="105"/>
      <c r="AW162" s="105"/>
      <c r="AX162" s="105"/>
      <c r="AY162" s="105"/>
      <c r="AZ162" s="105"/>
      <c r="BA162" s="105"/>
      <c r="BB162" s="105"/>
      <c r="BC162" s="105"/>
      <c r="BD162" s="105"/>
      <c r="BE162" s="105"/>
      <c r="BF162" s="105"/>
      <c r="BG162" s="105"/>
      <c r="BH162" s="105"/>
      <c r="BI162" s="105"/>
      <c r="BJ162" s="105"/>
      <c r="BK162" s="105"/>
      <c r="BL162" s="105"/>
      <c r="BM162" s="105"/>
      <c r="BN162" s="105"/>
      <c r="BO162" s="105"/>
      <c r="BP162" s="105"/>
      <c r="BQ162" s="105"/>
      <c r="BR162" s="105"/>
      <c r="BS162" s="105"/>
      <c r="BT162" s="105"/>
      <c r="BU162" s="105"/>
      <c r="BV162" s="105"/>
      <c r="BW162" s="105"/>
      <c r="BX162" s="105"/>
      <c r="BY162" s="105"/>
      <c r="BZ162" s="105"/>
      <c r="CA162" s="105"/>
      <c r="CB162" s="105"/>
      <c r="CC162" s="105"/>
      <c r="CD162" s="105"/>
      <c r="CE162" s="105"/>
      <c r="CF162" s="105"/>
      <c r="CG162" s="105"/>
      <c r="CH162" s="105"/>
      <c r="CI162" s="105"/>
      <c r="CJ162" s="105"/>
      <c r="CK162" s="105"/>
      <c r="CL162" s="105"/>
      <c r="CM162" s="105"/>
      <c r="CN162" s="105"/>
      <c r="CO162" s="105"/>
      <c r="CP162" s="105"/>
      <c r="CQ162" s="105"/>
      <c r="CR162" s="105"/>
      <c r="CS162" s="105"/>
      <c r="CT162" s="105"/>
      <c r="CU162" s="105"/>
      <c r="CV162" s="105"/>
      <c r="CW162" s="105"/>
      <c r="CX162" s="105"/>
      <c r="CY162" s="105"/>
      <c r="CZ162" s="104"/>
      <c r="DA162" s="105"/>
      <c r="DB162" s="105"/>
      <c r="DC162" s="105"/>
      <c r="DD162" s="105"/>
      <c r="DE162" s="105"/>
      <c r="DF162" s="105"/>
      <c r="DG162" s="105"/>
      <c r="DH162" s="105"/>
      <c r="DI162" s="105"/>
      <c r="DJ162" s="105"/>
      <c r="DK162" s="104"/>
      <c r="DL162" s="104"/>
    </row>
    <row r="163" ht="12.0" customHeight="1">
      <c r="A163" s="104"/>
      <c r="B163" s="104"/>
      <c r="C163" s="243"/>
      <c r="D163" s="243"/>
      <c r="E163" s="243"/>
      <c r="F163" s="243"/>
      <c r="G163" s="243"/>
      <c r="H163" s="243"/>
      <c r="I163" s="243"/>
      <c r="J163" s="243"/>
      <c r="K163" s="243"/>
      <c r="L163" s="243"/>
      <c r="M163" s="243"/>
      <c r="N163" s="243"/>
      <c r="O163" s="243"/>
      <c r="P163" s="243"/>
      <c r="Q163" s="243"/>
      <c r="R163" s="243"/>
      <c r="S163" s="243"/>
      <c r="T163" s="243"/>
      <c r="U163" s="243"/>
      <c r="V163" s="243"/>
      <c r="W163" s="243"/>
      <c r="X163" s="243"/>
      <c r="Y163" s="243"/>
      <c r="Z163" s="243"/>
      <c r="AA163" s="243"/>
      <c r="AB163" s="243"/>
      <c r="AC163" s="105"/>
      <c r="AD163" s="105"/>
      <c r="AE163" s="105"/>
      <c r="AF163" s="105"/>
      <c r="AG163" s="105"/>
      <c r="AH163" s="105"/>
      <c r="AI163" s="105"/>
      <c r="AJ163" s="105"/>
      <c r="AK163" s="105"/>
      <c r="AL163" s="105"/>
      <c r="AM163" s="105"/>
      <c r="AN163" s="105"/>
      <c r="AO163" s="105"/>
      <c r="AP163" s="105"/>
      <c r="AQ163" s="105"/>
      <c r="AR163" s="105"/>
      <c r="AS163" s="105"/>
      <c r="AT163" s="105"/>
      <c r="AU163" s="105"/>
      <c r="AV163" s="105"/>
      <c r="AW163" s="105"/>
      <c r="AX163" s="105"/>
      <c r="AY163" s="105"/>
      <c r="AZ163" s="105"/>
      <c r="BA163" s="105"/>
      <c r="BB163" s="105"/>
      <c r="BC163" s="105"/>
      <c r="BD163" s="105"/>
      <c r="BE163" s="105"/>
      <c r="BF163" s="105"/>
      <c r="BG163" s="105"/>
      <c r="BH163" s="105"/>
      <c r="BI163" s="105"/>
      <c r="BJ163" s="105"/>
      <c r="BK163" s="105"/>
      <c r="BL163" s="105"/>
      <c r="BM163" s="105"/>
      <c r="BN163" s="105"/>
      <c r="BO163" s="105"/>
      <c r="BP163" s="105"/>
      <c r="BQ163" s="105"/>
      <c r="BR163" s="105"/>
      <c r="BS163" s="105"/>
      <c r="BT163" s="105"/>
      <c r="BU163" s="105"/>
      <c r="BV163" s="105"/>
      <c r="BW163" s="105"/>
      <c r="BX163" s="105"/>
      <c r="BY163" s="105"/>
      <c r="BZ163" s="105"/>
      <c r="CA163" s="105"/>
      <c r="CB163" s="105"/>
      <c r="CC163" s="105"/>
      <c r="CD163" s="105"/>
      <c r="CE163" s="105"/>
      <c r="CF163" s="105"/>
      <c r="CG163" s="105"/>
      <c r="CH163" s="105"/>
      <c r="CI163" s="105"/>
      <c r="CJ163" s="105"/>
      <c r="CK163" s="105"/>
      <c r="CL163" s="105"/>
      <c r="CM163" s="105"/>
      <c r="CN163" s="105"/>
      <c r="CO163" s="105"/>
      <c r="CP163" s="105"/>
      <c r="CQ163" s="105"/>
      <c r="CR163" s="105"/>
      <c r="CS163" s="105"/>
      <c r="CT163" s="105"/>
      <c r="CU163" s="105"/>
      <c r="CV163" s="105"/>
      <c r="CW163" s="105"/>
      <c r="CX163" s="105"/>
      <c r="CY163" s="105"/>
      <c r="CZ163" s="104"/>
      <c r="DA163" s="105"/>
      <c r="DB163" s="105"/>
      <c r="DC163" s="105"/>
      <c r="DD163" s="105"/>
      <c r="DE163" s="105"/>
      <c r="DF163" s="105"/>
      <c r="DG163" s="105"/>
      <c r="DH163" s="105"/>
      <c r="DI163" s="105"/>
      <c r="DJ163" s="105"/>
      <c r="DK163" s="104"/>
      <c r="DL163" s="104"/>
    </row>
    <row r="164" ht="12.0" customHeight="1">
      <c r="A164" s="104"/>
      <c r="B164" s="104"/>
      <c r="C164" s="243"/>
      <c r="D164" s="243"/>
      <c r="E164" s="243"/>
      <c r="F164" s="243"/>
      <c r="G164" s="243"/>
      <c r="H164" s="243"/>
      <c r="I164" s="243"/>
      <c r="J164" s="243"/>
      <c r="K164" s="243"/>
      <c r="L164" s="243"/>
      <c r="M164" s="243"/>
      <c r="N164" s="243"/>
      <c r="O164" s="243"/>
      <c r="P164" s="243"/>
      <c r="Q164" s="243"/>
      <c r="R164" s="243"/>
      <c r="S164" s="243"/>
      <c r="T164" s="243"/>
      <c r="U164" s="243"/>
      <c r="V164" s="243"/>
      <c r="W164" s="243"/>
      <c r="X164" s="243"/>
      <c r="Y164" s="243"/>
      <c r="Z164" s="243"/>
      <c r="AA164" s="243"/>
      <c r="AB164" s="243"/>
      <c r="AC164" s="105"/>
      <c r="AD164" s="105"/>
      <c r="AE164" s="105"/>
      <c r="AF164" s="105"/>
      <c r="AG164" s="105"/>
      <c r="AH164" s="105"/>
      <c r="AI164" s="105"/>
      <c r="AJ164" s="105"/>
      <c r="AK164" s="105"/>
      <c r="AL164" s="105"/>
      <c r="AM164" s="105"/>
      <c r="AN164" s="105"/>
      <c r="AO164" s="105"/>
      <c r="AP164" s="105"/>
      <c r="AQ164" s="105"/>
      <c r="AR164" s="105"/>
      <c r="AS164" s="105"/>
      <c r="AT164" s="105"/>
      <c r="AU164" s="105"/>
      <c r="AV164" s="105"/>
      <c r="AW164" s="105"/>
      <c r="AX164" s="105"/>
      <c r="AY164" s="105"/>
      <c r="AZ164" s="105"/>
      <c r="BA164" s="105"/>
      <c r="BB164" s="105"/>
      <c r="BC164" s="105"/>
      <c r="BD164" s="105"/>
      <c r="BE164" s="105"/>
      <c r="BF164" s="105"/>
      <c r="BG164" s="105"/>
      <c r="BH164" s="105"/>
      <c r="BI164" s="105"/>
      <c r="BJ164" s="105"/>
      <c r="BK164" s="105"/>
      <c r="BL164" s="105"/>
      <c r="BM164" s="105"/>
      <c r="BN164" s="105"/>
      <c r="BO164" s="105"/>
      <c r="BP164" s="105"/>
      <c r="BQ164" s="105"/>
      <c r="BR164" s="105"/>
      <c r="BS164" s="105"/>
      <c r="BT164" s="105"/>
      <c r="BU164" s="105"/>
      <c r="BV164" s="105"/>
      <c r="BW164" s="105"/>
      <c r="BX164" s="105"/>
      <c r="BY164" s="105"/>
      <c r="BZ164" s="105"/>
      <c r="CA164" s="105"/>
      <c r="CB164" s="105"/>
      <c r="CC164" s="105"/>
      <c r="CD164" s="105"/>
      <c r="CE164" s="105"/>
      <c r="CF164" s="105"/>
      <c r="CG164" s="105"/>
      <c r="CH164" s="105"/>
      <c r="CI164" s="105"/>
      <c r="CJ164" s="105"/>
      <c r="CK164" s="105"/>
      <c r="CL164" s="105"/>
      <c r="CM164" s="105"/>
      <c r="CN164" s="105"/>
      <c r="CO164" s="105"/>
      <c r="CP164" s="105"/>
      <c r="CQ164" s="105"/>
      <c r="CR164" s="105"/>
      <c r="CS164" s="105"/>
      <c r="CT164" s="105"/>
      <c r="CU164" s="105"/>
      <c r="CV164" s="105"/>
      <c r="CW164" s="105"/>
      <c r="CX164" s="105"/>
      <c r="CY164" s="105"/>
      <c r="CZ164" s="104"/>
      <c r="DA164" s="105"/>
      <c r="DB164" s="105"/>
      <c r="DC164" s="105"/>
      <c r="DD164" s="105"/>
      <c r="DE164" s="105"/>
      <c r="DF164" s="105"/>
      <c r="DG164" s="105"/>
      <c r="DH164" s="105"/>
      <c r="DI164" s="105"/>
      <c r="DJ164" s="105"/>
      <c r="DK164" s="104"/>
      <c r="DL164" s="104"/>
    </row>
    <row r="165" ht="12.0" customHeight="1">
      <c r="A165" s="104"/>
      <c r="B165" s="104"/>
      <c r="C165" s="243"/>
      <c r="D165" s="243"/>
      <c r="E165" s="243"/>
      <c r="F165" s="243"/>
      <c r="G165" s="243"/>
      <c r="H165" s="243"/>
      <c r="I165" s="243"/>
      <c r="J165" s="243"/>
      <c r="K165" s="243"/>
      <c r="L165" s="243"/>
      <c r="M165" s="243"/>
      <c r="N165" s="243"/>
      <c r="O165" s="243"/>
      <c r="P165" s="243"/>
      <c r="Q165" s="243"/>
      <c r="R165" s="243"/>
      <c r="S165" s="243"/>
      <c r="T165" s="243"/>
      <c r="U165" s="243"/>
      <c r="V165" s="243"/>
      <c r="W165" s="243"/>
      <c r="X165" s="243"/>
      <c r="Y165" s="243"/>
      <c r="Z165" s="243"/>
      <c r="AA165" s="243"/>
      <c r="AB165" s="243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BJ165" s="105"/>
      <c r="BK165" s="105"/>
      <c r="BL165" s="105"/>
      <c r="BM165" s="105"/>
      <c r="BN165" s="105"/>
      <c r="BO165" s="105"/>
      <c r="BP165" s="105"/>
      <c r="BQ165" s="105"/>
      <c r="BR165" s="105"/>
      <c r="BS165" s="105"/>
      <c r="BT165" s="105"/>
      <c r="BU165" s="105"/>
      <c r="BV165" s="105"/>
      <c r="BW165" s="105"/>
      <c r="BX165" s="105"/>
      <c r="BY165" s="105"/>
      <c r="BZ165" s="105"/>
      <c r="CA165" s="105"/>
      <c r="CB165" s="105"/>
      <c r="CC165" s="105"/>
      <c r="CD165" s="105"/>
      <c r="CE165" s="105"/>
      <c r="CF165" s="105"/>
      <c r="CG165" s="105"/>
      <c r="CH165" s="105"/>
      <c r="CI165" s="105"/>
      <c r="CJ165" s="105"/>
      <c r="CK165" s="105"/>
      <c r="CL165" s="105"/>
      <c r="CM165" s="105"/>
      <c r="CN165" s="105"/>
      <c r="CO165" s="105"/>
      <c r="CP165" s="105"/>
      <c r="CQ165" s="105"/>
      <c r="CR165" s="105"/>
      <c r="CS165" s="105"/>
      <c r="CT165" s="105"/>
      <c r="CU165" s="105"/>
      <c r="CV165" s="105"/>
      <c r="CW165" s="105"/>
      <c r="CX165" s="105"/>
      <c r="CY165" s="105"/>
      <c r="CZ165" s="104"/>
      <c r="DA165" s="105"/>
      <c r="DB165" s="105"/>
      <c r="DC165" s="105"/>
      <c r="DD165" s="105"/>
      <c r="DE165" s="105"/>
      <c r="DF165" s="105"/>
      <c r="DG165" s="105"/>
      <c r="DH165" s="105"/>
      <c r="DI165" s="105"/>
      <c r="DJ165" s="105"/>
      <c r="DK165" s="104"/>
      <c r="DL165" s="104"/>
    </row>
    <row r="166" ht="12.0" customHeight="1">
      <c r="A166" s="104"/>
      <c r="B166" s="104"/>
      <c r="C166" s="243"/>
      <c r="D166" s="243"/>
      <c r="E166" s="243"/>
      <c r="F166" s="243"/>
      <c r="G166" s="243"/>
      <c r="H166" s="243"/>
      <c r="I166" s="243"/>
      <c r="J166" s="243"/>
      <c r="K166" s="243"/>
      <c r="L166" s="243"/>
      <c r="M166" s="243"/>
      <c r="N166" s="243"/>
      <c r="O166" s="243"/>
      <c r="P166" s="243"/>
      <c r="Q166" s="243"/>
      <c r="R166" s="243"/>
      <c r="S166" s="243"/>
      <c r="T166" s="243"/>
      <c r="U166" s="243"/>
      <c r="V166" s="243"/>
      <c r="W166" s="243"/>
      <c r="X166" s="243"/>
      <c r="Y166" s="243"/>
      <c r="Z166" s="243"/>
      <c r="AA166" s="243"/>
      <c r="AB166" s="243"/>
      <c r="AC166" s="105"/>
      <c r="AD166" s="105"/>
      <c r="AE166" s="105"/>
      <c r="AF166" s="105"/>
      <c r="AG166" s="105"/>
      <c r="AH166" s="105"/>
      <c r="AI166" s="105"/>
      <c r="AJ166" s="105"/>
      <c r="AK166" s="105"/>
      <c r="AL166" s="105"/>
      <c r="AM166" s="105"/>
      <c r="AN166" s="105"/>
      <c r="AO166" s="105"/>
      <c r="AP166" s="105"/>
      <c r="AQ166" s="105"/>
      <c r="AR166" s="105"/>
      <c r="AS166" s="105"/>
      <c r="AT166" s="105"/>
      <c r="AU166" s="105"/>
      <c r="AV166" s="105"/>
      <c r="AW166" s="105"/>
      <c r="AX166" s="105"/>
      <c r="AY166" s="105"/>
      <c r="AZ166" s="105"/>
      <c r="BA166" s="105"/>
      <c r="BB166" s="105"/>
      <c r="BC166" s="105"/>
      <c r="BD166" s="105"/>
      <c r="BE166" s="105"/>
      <c r="BF166" s="105"/>
      <c r="BG166" s="105"/>
      <c r="BH166" s="105"/>
      <c r="BI166" s="105"/>
      <c r="BJ166" s="105"/>
      <c r="BK166" s="105"/>
      <c r="BL166" s="105"/>
      <c r="BM166" s="105"/>
      <c r="BN166" s="105"/>
      <c r="BO166" s="105"/>
      <c r="BP166" s="105"/>
      <c r="BQ166" s="105"/>
      <c r="BR166" s="105"/>
      <c r="BS166" s="105"/>
      <c r="BT166" s="105"/>
      <c r="BU166" s="105"/>
      <c r="BV166" s="105"/>
      <c r="BW166" s="105"/>
      <c r="BX166" s="105"/>
      <c r="BY166" s="105"/>
      <c r="BZ166" s="105"/>
      <c r="CA166" s="105"/>
      <c r="CB166" s="105"/>
      <c r="CC166" s="105"/>
      <c r="CD166" s="105"/>
      <c r="CE166" s="105"/>
      <c r="CF166" s="105"/>
      <c r="CG166" s="105"/>
      <c r="CH166" s="105"/>
      <c r="CI166" s="105"/>
      <c r="CJ166" s="105"/>
      <c r="CK166" s="105"/>
      <c r="CL166" s="105"/>
      <c r="CM166" s="105"/>
      <c r="CN166" s="105"/>
      <c r="CO166" s="105"/>
      <c r="CP166" s="105"/>
      <c r="CQ166" s="105"/>
      <c r="CR166" s="105"/>
      <c r="CS166" s="105"/>
      <c r="CT166" s="105"/>
      <c r="CU166" s="105"/>
      <c r="CV166" s="105"/>
      <c r="CW166" s="105"/>
      <c r="CX166" s="105"/>
      <c r="CY166" s="105"/>
      <c r="CZ166" s="104"/>
      <c r="DA166" s="105"/>
      <c r="DB166" s="105"/>
      <c r="DC166" s="105"/>
      <c r="DD166" s="105"/>
      <c r="DE166" s="105"/>
      <c r="DF166" s="105"/>
      <c r="DG166" s="105"/>
      <c r="DH166" s="105"/>
      <c r="DI166" s="105"/>
      <c r="DJ166" s="105"/>
      <c r="DK166" s="104"/>
      <c r="DL166" s="104"/>
    </row>
    <row r="167" ht="12.0" customHeight="1">
      <c r="A167" s="104"/>
      <c r="B167" s="104"/>
      <c r="C167" s="243"/>
      <c r="D167" s="243"/>
      <c r="E167" s="243"/>
      <c r="F167" s="243"/>
      <c r="G167" s="243"/>
      <c r="H167" s="243"/>
      <c r="I167" s="243"/>
      <c r="J167" s="243"/>
      <c r="K167" s="243"/>
      <c r="L167" s="243"/>
      <c r="M167" s="243"/>
      <c r="N167" s="243"/>
      <c r="O167" s="243"/>
      <c r="P167" s="243"/>
      <c r="Q167" s="243"/>
      <c r="R167" s="243"/>
      <c r="S167" s="243"/>
      <c r="T167" s="243"/>
      <c r="U167" s="243"/>
      <c r="V167" s="243"/>
      <c r="W167" s="243"/>
      <c r="X167" s="243"/>
      <c r="Y167" s="243"/>
      <c r="Z167" s="243"/>
      <c r="AA167" s="243"/>
      <c r="AB167" s="243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  <c r="BA167" s="105"/>
      <c r="BB167" s="105"/>
      <c r="BC167" s="105"/>
      <c r="BD167" s="105"/>
      <c r="BE167" s="105"/>
      <c r="BF167" s="105"/>
      <c r="BG167" s="105"/>
      <c r="BH167" s="105"/>
      <c r="BI167" s="105"/>
      <c r="BJ167" s="105"/>
      <c r="BK167" s="105"/>
      <c r="BL167" s="105"/>
      <c r="BM167" s="105"/>
      <c r="BN167" s="105"/>
      <c r="BO167" s="105"/>
      <c r="BP167" s="105"/>
      <c r="BQ167" s="105"/>
      <c r="BR167" s="105"/>
      <c r="BS167" s="105"/>
      <c r="BT167" s="105"/>
      <c r="BU167" s="105"/>
      <c r="BV167" s="105"/>
      <c r="BW167" s="105"/>
      <c r="BX167" s="105"/>
      <c r="BY167" s="105"/>
      <c r="BZ167" s="105"/>
      <c r="CA167" s="105"/>
      <c r="CB167" s="105"/>
      <c r="CC167" s="105"/>
      <c r="CD167" s="105"/>
      <c r="CE167" s="105"/>
      <c r="CF167" s="105"/>
      <c r="CG167" s="105"/>
      <c r="CH167" s="105"/>
      <c r="CI167" s="105"/>
      <c r="CJ167" s="105"/>
      <c r="CK167" s="105"/>
      <c r="CL167" s="105"/>
      <c r="CM167" s="105"/>
      <c r="CN167" s="105"/>
      <c r="CO167" s="105"/>
      <c r="CP167" s="105"/>
      <c r="CQ167" s="105"/>
      <c r="CR167" s="105"/>
      <c r="CS167" s="105"/>
      <c r="CT167" s="105"/>
      <c r="CU167" s="105"/>
      <c r="CV167" s="105"/>
      <c r="CW167" s="105"/>
      <c r="CX167" s="105"/>
      <c r="CY167" s="105"/>
      <c r="CZ167" s="104"/>
      <c r="DA167" s="105"/>
      <c r="DB167" s="105"/>
      <c r="DC167" s="105"/>
      <c r="DD167" s="105"/>
      <c r="DE167" s="105"/>
      <c r="DF167" s="105"/>
      <c r="DG167" s="105"/>
      <c r="DH167" s="105"/>
      <c r="DI167" s="105"/>
      <c r="DJ167" s="105"/>
      <c r="DK167" s="104"/>
      <c r="DL167" s="104"/>
    </row>
    <row r="168" ht="12.0" customHeight="1">
      <c r="A168" s="104"/>
      <c r="B168" s="104"/>
      <c r="C168" s="243"/>
      <c r="D168" s="243"/>
      <c r="E168" s="243"/>
      <c r="F168" s="243"/>
      <c r="G168" s="243"/>
      <c r="H168" s="243"/>
      <c r="I168" s="243"/>
      <c r="J168" s="243"/>
      <c r="K168" s="243"/>
      <c r="L168" s="243"/>
      <c r="M168" s="243"/>
      <c r="N168" s="243"/>
      <c r="O168" s="243"/>
      <c r="P168" s="243"/>
      <c r="Q168" s="243"/>
      <c r="R168" s="243"/>
      <c r="S168" s="243"/>
      <c r="T168" s="243"/>
      <c r="U168" s="243"/>
      <c r="V168" s="243"/>
      <c r="W168" s="243"/>
      <c r="X168" s="243"/>
      <c r="Y168" s="243"/>
      <c r="Z168" s="243"/>
      <c r="AA168" s="243"/>
      <c r="AB168" s="243"/>
      <c r="AC168" s="105"/>
      <c r="AD168" s="105"/>
      <c r="AE168" s="105"/>
      <c r="AF168" s="105"/>
      <c r="AG168" s="105"/>
      <c r="AH168" s="105"/>
      <c r="AI168" s="105"/>
      <c r="AJ168" s="105"/>
      <c r="AK168" s="105"/>
      <c r="AL168" s="105"/>
      <c r="AM168" s="105"/>
      <c r="AN168" s="105"/>
      <c r="AO168" s="105"/>
      <c r="AP168" s="105"/>
      <c r="AQ168" s="105"/>
      <c r="AR168" s="105"/>
      <c r="AS168" s="105"/>
      <c r="AT168" s="105"/>
      <c r="AU168" s="105"/>
      <c r="AV168" s="105"/>
      <c r="AW168" s="105"/>
      <c r="AX168" s="105"/>
      <c r="AY168" s="105"/>
      <c r="AZ168" s="105"/>
      <c r="BA168" s="105"/>
      <c r="BB168" s="105"/>
      <c r="BC168" s="105"/>
      <c r="BD168" s="105"/>
      <c r="BE168" s="105"/>
      <c r="BF168" s="105"/>
      <c r="BG168" s="105"/>
      <c r="BH168" s="105"/>
      <c r="BI168" s="105"/>
      <c r="BJ168" s="105"/>
      <c r="BK168" s="105"/>
      <c r="BL168" s="105"/>
      <c r="BM168" s="105"/>
      <c r="BN168" s="105"/>
      <c r="BO168" s="105"/>
      <c r="BP168" s="105"/>
      <c r="BQ168" s="105"/>
      <c r="BR168" s="105"/>
      <c r="BS168" s="105"/>
      <c r="BT168" s="105"/>
      <c r="BU168" s="105"/>
      <c r="BV168" s="105"/>
      <c r="BW168" s="105"/>
      <c r="BX168" s="105"/>
      <c r="BY168" s="105"/>
      <c r="BZ168" s="105"/>
      <c r="CA168" s="105"/>
      <c r="CB168" s="105"/>
      <c r="CC168" s="105"/>
      <c r="CD168" s="105"/>
      <c r="CE168" s="105"/>
      <c r="CF168" s="105"/>
      <c r="CG168" s="105"/>
      <c r="CH168" s="105"/>
      <c r="CI168" s="105"/>
      <c r="CJ168" s="105"/>
      <c r="CK168" s="105"/>
      <c r="CL168" s="105"/>
      <c r="CM168" s="105"/>
      <c r="CN168" s="105"/>
      <c r="CO168" s="105"/>
      <c r="CP168" s="105"/>
      <c r="CQ168" s="105"/>
      <c r="CR168" s="105"/>
      <c r="CS168" s="105"/>
      <c r="CT168" s="105"/>
      <c r="CU168" s="105"/>
      <c r="CV168" s="105"/>
      <c r="CW168" s="105"/>
      <c r="CX168" s="105"/>
      <c r="CY168" s="105"/>
      <c r="CZ168" s="104"/>
      <c r="DA168" s="105"/>
      <c r="DB168" s="105"/>
      <c r="DC168" s="105"/>
      <c r="DD168" s="105"/>
      <c r="DE168" s="105"/>
      <c r="DF168" s="105"/>
      <c r="DG168" s="105"/>
      <c r="DH168" s="105"/>
      <c r="DI168" s="105"/>
      <c r="DJ168" s="105"/>
      <c r="DK168" s="104"/>
      <c r="DL168" s="104"/>
    </row>
    <row r="169" ht="12.0" customHeight="1">
      <c r="A169" s="104"/>
      <c r="B169" s="104"/>
      <c r="C169" s="243"/>
      <c r="D169" s="243"/>
      <c r="E169" s="243"/>
      <c r="F169" s="243"/>
      <c r="G169" s="243"/>
      <c r="H169" s="243"/>
      <c r="I169" s="243"/>
      <c r="J169" s="243"/>
      <c r="K169" s="243"/>
      <c r="L169" s="243"/>
      <c r="M169" s="243"/>
      <c r="N169" s="243"/>
      <c r="O169" s="243"/>
      <c r="P169" s="243"/>
      <c r="Q169" s="243"/>
      <c r="R169" s="243"/>
      <c r="S169" s="243"/>
      <c r="T169" s="243"/>
      <c r="U169" s="243"/>
      <c r="V169" s="243"/>
      <c r="W169" s="243"/>
      <c r="X169" s="243"/>
      <c r="Y169" s="243"/>
      <c r="Z169" s="243"/>
      <c r="AA169" s="243"/>
      <c r="AB169" s="243"/>
      <c r="AC169" s="105"/>
      <c r="AD169" s="105"/>
      <c r="AE169" s="105"/>
      <c r="AF169" s="105"/>
      <c r="AG169" s="105"/>
      <c r="AH169" s="105"/>
      <c r="AI169" s="105"/>
      <c r="AJ169" s="105"/>
      <c r="AK169" s="105"/>
      <c r="AL169" s="105"/>
      <c r="AM169" s="105"/>
      <c r="AN169" s="105"/>
      <c r="AO169" s="105"/>
      <c r="AP169" s="105"/>
      <c r="AQ169" s="105"/>
      <c r="AR169" s="105"/>
      <c r="AS169" s="105"/>
      <c r="AT169" s="105"/>
      <c r="AU169" s="105"/>
      <c r="AV169" s="105"/>
      <c r="AW169" s="105"/>
      <c r="AX169" s="105"/>
      <c r="AY169" s="105"/>
      <c r="AZ169" s="105"/>
      <c r="BA169" s="105"/>
      <c r="BB169" s="105"/>
      <c r="BC169" s="105"/>
      <c r="BD169" s="105"/>
      <c r="BE169" s="105"/>
      <c r="BF169" s="105"/>
      <c r="BG169" s="105"/>
      <c r="BH169" s="105"/>
      <c r="BI169" s="105"/>
      <c r="BJ169" s="105"/>
      <c r="BK169" s="105"/>
      <c r="BL169" s="105"/>
      <c r="BM169" s="105"/>
      <c r="BN169" s="105"/>
      <c r="BO169" s="105"/>
      <c r="BP169" s="105"/>
      <c r="BQ169" s="105"/>
      <c r="BR169" s="105"/>
      <c r="BS169" s="105"/>
      <c r="BT169" s="105"/>
      <c r="BU169" s="105"/>
      <c r="BV169" s="105"/>
      <c r="BW169" s="105"/>
      <c r="BX169" s="105"/>
      <c r="BY169" s="105"/>
      <c r="BZ169" s="105"/>
      <c r="CA169" s="105"/>
      <c r="CB169" s="105"/>
      <c r="CC169" s="105"/>
      <c r="CD169" s="105"/>
      <c r="CE169" s="105"/>
      <c r="CF169" s="105"/>
      <c r="CG169" s="105"/>
      <c r="CH169" s="105"/>
      <c r="CI169" s="105"/>
      <c r="CJ169" s="105"/>
      <c r="CK169" s="105"/>
      <c r="CL169" s="105"/>
      <c r="CM169" s="105"/>
      <c r="CN169" s="105"/>
      <c r="CO169" s="105"/>
      <c r="CP169" s="105"/>
      <c r="CQ169" s="105"/>
      <c r="CR169" s="105"/>
      <c r="CS169" s="105"/>
      <c r="CT169" s="105"/>
      <c r="CU169" s="105"/>
      <c r="CV169" s="105"/>
      <c r="CW169" s="105"/>
      <c r="CX169" s="105"/>
      <c r="CY169" s="105"/>
      <c r="CZ169" s="104"/>
      <c r="DA169" s="105"/>
      <c r="DB169" s="105"/>
      <c r="DC169" s="105"/>
      <c r="DD169" s="105"/>
      <c r="DE169" s="105"/>
      <c r="DF169" s="105"/>
      <c r="DG169" s="105"/>
      <c r="DH169" s="105"/>
      <c r="DI169" s="105"/>
      <c r="DJ169" s="105"/>
      <c r="DK169" s="104"/>
      <c r="DL169" s="104"/>
    </row>
    <row r="170" ht="12.0" customHeight="1">
      <c r="A170" s="104"/>
      <c r="B170" s="104"/>
      <c r="C170" s="243"/>
      <c r="D170" s="243"/>
      <c r="E170" s="243"/>
      <c r="F170" s="243"/>
      <c r="G170" s="243"/>
      <c r="H170" s="243"/>
      <c r="I170" s="243"/>
      <c r="J170" s="243"/>
      <c r="K170" s="243"/>
      <c r="L170" s="243"/>
      <c r="M170" s="243"/>
      <c r="N170" s="243"/>
      <c r="O170" s="243"/>
      <c r="P170" s="243"/>
      <c r="Q170" s="243"/>
      <c r="R170" s="243"/>
      <c r="S170" s="243"/>
      <c r="T170" s="243"/>
      <c r="U170" s="243"/>
      <c r="V170" s="243"/>
      <c r="W170" s="243"/>
      <c r="X170" s="243"/>
      <c r="Y170" s="243"/>
      <c r="Z170" s="243"/>
      <c r="AA170" s="243"/>
      <c r="AB170" s="243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5"/>
      <c r="AX170" s="105"/>
      <c r="AY170" s="105"/>
      <c r="AZ170" s="105"/>
      <c r="BA170" s="105"/>
      <c r="BB170" s="105"/>
      <c r="BC170" s="105"/>
      <c r="BD170" s="105"/>
      <c r="BE170" s="105"/>
      <c r="BF170" s="105"/>
      <c r="BG170" s="105"/>
      <c r="BH170" s="105"/>
      <c r="BI170" s="105"/>
      <c r="BJ170" s="105"/>
      <c r="BK170" s="105"/>
      <c r="BL170" s="105"/>
      <c r="BM170" s="105"/>
      <c r="BN170" s="105"/>
      <c r="BO170" s="105"/>
      <c r="BP170" s="105"/>
      <c r="BQ170" s="105"/>
      <c r="BR170" s="105"/>
      <c r="BS170" s="105"/>
      <c r="BT170" s="105"/>
      <c r="BU170" s="105"/>
      <c r="BV170" s="105"/>
      <c r="BW170" s="105"/>
      <c r="BX170" s="105"/>
      <c r="BY170" s="105"/>
      <c r="BZ170" s="105"/>
      <c r="CA170" s="105"/>
      <c r="CB170" s="105"/>
      <c r="CC170" s="105"/>
      <c r="CD170" s="105"/>
      <c r="CE170" s="105"/>
      <c r="CF170" s="105"/>
      <c r="CG170" s="105"/>
      <c r="CH170" s="105"/>
      <c r="CI170" s="105"/>
      <c r="CJ170" s="105"/>
      <c r="CK170" s="105"/>
      <c r="CL170" s="105"/>
      <c r="CM170" s="105"/>
      <c r="CN170" s="105"/>
      <c r="CO170" s="105"/>
      <c r="CP170" s="105"/>
      <c r="CQ170" s="105"/>
      <c r="CR170" s="105"/>
      <c r="CS170" s="105"/>
      <c r="CT170" s="105"/>
      <c r="CU170" s="105"/>
      <c r="CV170" s="105"/>
      <c r="CW170" s="105"/>
      <c r="CX170" s="105"/>
      <c r="CY170" s="105"/>
      <c r="CZ170" s="104"/>
      <c r="DA170" s="105"/>
      <c r="DB170" s="105"/>
      <c r="DC170" s="105"/>
      <c r="DD170" s="105"/>
      <c r="DE170" s="105"/>
      <c r="DF170" s="105"/>
      <c r="DG170" s="105"/>
      <c r="DH170" s="105"/>
      <c r="DI170" s="105"/>
      <c r="DJ170" s="105"/>
      <c r="DK170" s="104"/>
      <c r="DL170" s="104"/>
    </row>
    <row r="171" ht="12.0" customHeight="1">
      <c r="A171" s="104"/>
      <c r="B171" s="104"/>
      <c r="C171" s="243"/>
      <c r="D171" s="243"/>
      <c r="E171" s="243"/>
      <c r="F171" s="243"/>
      <c r="G171" s="243"/>
      <c r="H171" s="243"/>
      <c r="I171" s="243"/>
      <c r="J171" s="243"/>
      <c r="K171" s="243"/>
      <c r="L171" s="243"/>
      <c r="M171" s="243"/>
      <c r="N171" s="243"/>
      <c r="O171" s="243"/>
      <c r="P171" s="243"/>
      <c r="Q171" s="243"/>
      <c r="R171" s="243"/>
      <c r="S171" s="243"/>
      <c r="T171" s="243"/>
      <c r="U171" s="243"/>
      <c r="V171" s="243"/>
      <c r="W171" s="243"/>
      <c r="X171" s="243"/>
      <c r="Y171" s="243"/>
      <c r="Z171" s="243"/>
      <c r="AA171" s="243"/>
      <c r="AB171" s="243"/>
      <c r="AC171" s="105"/>
      <c r="AD171" s="105"/>
      <c r="AE171" s="105"/>
      <c r="AF171" s="105"/>
      <c r="AG171" s="105"/>
      <c r="AH171" s="105"/>
      <c r="AI171" s="105"/>
      <c r="AJ171" s="105"/>
      <c r="AK171" s="105"/>
      <c r="AL171" s="105"/>
      <c r="AM171" s="105"/>
      <c r="AN171" s="105"/>
      <c r="AO171" s="105"/>
      <c r="AP171" s="105"/>
      <c r="AQ171" s="105"/>
      <c r="AR171" s="105"/>
      <c r="AS171" s="105"/>
      <c r="AT171" s="105"/>
      <c r="AU171" s="105"/>
      <c r="AV171" s="105"/>
      <c r="AW171" s="105"/>
      <c r="AX171" s="105"/>
      <c r="AY171" s="105"/>
      <c r="AZ171" s="105"/>
      <c r="BA171" s="105"/>
      <c r="BB171" s="105"/>
      <c r="BC171" s="105"/>
      <c r="BD171" s="105"/>
      <c r="BE171" s="105"/>
      <c r="BF171" s="105"/>
      <c r="BG171" s="105"/>
      <c r="BH171" s="105"/>
      <c r="BI171" s="105"/>
      <c r="BJ171" s="105"/>
      <c r="BK171" s="105"/>
      <c r="BL171" s="105"/>
      <c r="BM171" s="105"/>
      <c r="BN171" s="105"/>
      <c r="BO171" s="105"/>
      <c r="BP171" s="105"/>
      <c r="BQ171" s="105"/>
      <c r="BR171" s="105"/>
      <c r="BS171" s="105"/>
      <c r="BT171" s="105"/>
      <c r="BU171" s="105"/>
      <c r="BV171" s="105"/>
      <c r="BW171" s="105"/>
      <c r="BX171" s="105"/>
      <c r="BY171" s="105"/>
      <c r="BZ171" s="105"/>
      <c r="CA171" s="105"/>
      <c r="CB171" s="105"/>
      <c r="CC171" s="105"/>
      <c r="CD171" s="105"/>
      <c r="CE171" s="105"/>
      <c r="CF171" s="105"/>
      <c r="CG171" s="105"/>
      <c r="CH171" s="105"/>
      <c r="CI171" s="105"/>
      <c r="CJ171" s="105"/>
      <c r="CK171" s="105"/>
      <c r="CL171" s="105"/>
      <c r="CM171" s="105"/>
      <c r="CN171" s="105"/>
      <c r="CO171" s="105"/>
      <c r="CP171" s="105"/>
      <c r="CQ171" s="105"/>
      <c r="CR171" s="105"/>
      <c r="CS171" s="105"/>
      <c r="CT171" s="105"/>
      <c r="CU171" s="105"/>
      <c r="CV171" s="105"/>
      <c r="CW171" s="105"/>
      <c r="CX171" s="105"/>
      <c r="CY171" s="105"/>
      <c r="CZ171" s="104"/>
      <c r="DA171" s="105"/>
      <c r="DB171" s="105"/>
      <c r="DC171" s="105"/>
      <c r="DD171" s="105"/>
      <c r="DE171" s="105"/>
      <c r="DF171" s="105"/>
      <c r="DG171" s="105"/>
      <c r="DH171" s="105"/>
      <c r="DI171" s="105"/>
      <c r="DJ171" s="105"/>
      <c r="DK171" s="104"/>
      <c r="DL171" s="104"/>
    </row>
    <row r="172" ht="12.0" customHeight="1">
      <c r="A172" s="104"/>
      <c r="B172" s="104"/>
      <c r="C172" s="243"/>
      <c r="D172" s="243"/>
      <c r="E172" s="243"/>
      <c r="F172" s="243"/>
      <c r="G172" s="243"/>
      <c r="H172" s="243"/>
      <c r="I172" s="243"/>
      <c r="J172" s="243"/>
      <c r="K172" s="243"/>
      <c r="L172" s="243"/>
      <c r="M172" s="243"/>
      <c r="N172" s="243"/>
      <c r="O172" s="243"/>
      <c r="P172" s="243"/>
      <c r="Q172" s="243"/>
      <c r="R172" s="243"/>
      <c r="S172" s="243"/>
      <c r="T172" s="243"/>
      <c r="U172" s="243"/>
      <c r="V172" s="243"/>
      <c r="W172" s="243"/>
      <c r="X172" s="243"/>
      <c r="Y172" s="243"/>
      <c r="Z172" s="243"/>
      <c r="AA172" s="243"/>
      <c r="AB172" s="243"/>
      <c r="AC172" s="105"/>
      <c r="AD172" s="105"/>
      <c r="AE172" s="105"/>
      <c r="AF172" s="105"/>
      <c r="AG172" s="105"/>
      <c r="AH172" s="105"/>
      <c r="AI172" s="105"/>
      <c r="AJ172" s="105"/>
      <c r="AK172" s="105"/>
      <c r="AL172" s="105"/>
      <c r="AM172" s="105"/>
      <c r="AN172" s="105"/>
      <c r="AO172" s="105"/>
      <c r="AP172" s="105"/>
      <c r="AQ172" s="105"/>
      <c r="AR172" s="105"/>
      <c r="AS172" s="105"/>
      <c r="AT172" s="105"/>
      <c r="AU172" s="105"/>
      <c r="AV172" s="105"/>
      <c r="AW172" s="105"/>
      <c r="AX172" s="105"/>
      <c r="AY172" s="105"/>
      <c r="AZ172" s="105"/>
      <c r="BA172" s="105"/>
      <c r="BB172" s="105"/>
      <c r="BC172" s="105"/>
      <c r="BD172" s="105"/>
      <c r="BE172" s="105"/>
      <c r="BF172" s="105"/>
      <c r="BG172" s="105"/>
      <c r="BH172" s="105"/>
      <c r="BI172" s="105"/>
      <c r="BJ172" s="105"/>
      <c r="BK172" s="105"/>
      <c r="BL172" s="105"/>
      <c r="BM172" s="105"/>
      <c r="BN172" s="105"/>
      <c r="BO172" s="105"/>
      <c r="BP172" s="105"/>
      <c r="BQ172" s="105"/>
      <c r="BR172" s="105"/>
      <c r="BS172" s="105"/>
      <c r="BT172" s="105"/>
      <c r="BU172" s="105"/>
      <c r="BV172" s="105"/>
      <c r="BW172" s="105"/>
      <c r="BX172" s="105"/>
      <c r="BY172" s="105"/>
      <c r="BZ172" s="105"/>
      <c r="CA172" s="105"/>
      <c r="CB172" s="105"/>
      <c r="CC172" s="105"/>
      <c r="CD172" s="105"/>
      <c r="CE172" s="105"/>
      <c r="CF172" s="105"/>
      <c r="CG172" s="105"/>
      <c r="CH172" s="105"/>
      <c r="CI172" s="105"/>
      <c r="CJ172" s="105"/>
      <c r="CK172" s="105"/>
      <c r="CL172" s="105"/>
      <c r="CM172" s="105"/>
      <c r="CN172" s="105"/>
      <c r="CO172" s="105"/>
      <c r="CP172" s="105"/>
      <c r="CQ172" s="105"/>
      <c r="CR172" s="105"/>
      <c r="CS172" s="105"/>
      <c r="CT172" s="105"/>
      <c r="CU172" s="105"/>
      <c r="CV172" s="105"/>
      <c r="CW172" s="105"/>
      <c r="CX172" s="105"/>
      <c r="CY172" s="105"/>
      <c r="CZ172" s="104"/>
      <c r="DA172" s="105"/>
      <c r="DB172" s="105"/>
      <c r="DC172" s="105"/>
      <c r="DD172" s="105"/>
      <c r="DE172" s="105"/>
      <c r="DF172" s="105"/>
      <c r="DG172" s="105"/>
      <c r="DH172" s="105"/>
      <c r="DI172" s="105"/>
      <c r="DJ172" s="105"/>
      <c r="DK172" s="104"/>
      <c r="DL172" s="104"/>
    </row>
    <row r="173" ht="12.0" customHeight="1">
      <c r="A173" s="104"/>
      <c r="B173" s="104"/>
      <c r="C173" s="243"/>
      <c r="D173" s="243"/>
      <c r="E173" s="243"/>
      <c r="F173" s="243"/>
      <c r="G173" s="243"/>
      <c r="H173" s="243"/>
      <c r="I173" s="243"/>
      <c r="J173" s="243"/>
      <c r="K173" s="243"/>
      <c r="L173" s="243"/>
      <c r="M173" s="243"/>
      <c r="N173" s="243"/>
      <c r="O173" s="243"/>
      <c r="P173" s="243"/>
      <c r="Q173" s="243"/>
      <c r="R173" s="243"/>
      <c r="S173" s="243"/>
      <c r="T173" s="243"/>
      <c r="U173" s="243"/>
      <c r="V173" s="243"/>
      <c r="W173" s="243"/>
      <c r="X173" s="243"/>
      <c r="Y173" s="243"/>
      <c r="Z173" s="243"/>
      <c r="AA173" s="243"/>
      <c r="AB173" s="243"/>
      <c r="AC173" s="105"/>
      <c r="AD173" s="105"/>
      <c r="AE173" s="105"/>
      <c r="AF173" s="105"/>
      <c r="AG173" s="105"/>
      <c r="AH173" s="105"/>
      <c r="AI173" s="105"/>
      <c r="AJ173" s="105"/>
      <c r="AK173" s="105"/>
      <c r="AL173" s="105"/>
      <c r="AM173" s="105"/>
      <c r="AN173" s="105"/>
      <c r="AO173" s="105"/>
      <c r="AP173" s="105"/>
      <c r="AQ173" s="105"/>
      <c r="AR173" s="105"/>
      <c r="AS173" s="105"/>
      <c r="AT173" s="105"/>
      <c r="AU173" s="105"/>
      <c r="AV173" s="105"/>
      <c r="AW173" s="105"/>
      <c r="AX173" s="105"/>
      <c r="AY173" s="105"/>
      <c r="AZ173" s="105"/>
      <c r="BA173" s="105"/>
      <c r="BB173" s="105"/>
      <c r="BC173" s="105"/>
      <c r="BD173" s="105"/>
      <c r="BE173" s="105"/>
      <c r="BF173" s="105"/>
      <c r="BG173" s="105"/>
      <c r="BH173" s="105"/>
      <c r="BI173" s="105"/>
      <c r="BJ173" s="105"/>
      <c r="BK173" s="105"/>
      <c r="BL173" s="105"/>
      <c r="BM173" s="105"/>
      <c r="BN173" s="105"/>
      <c r="BO173" s="105"/>
      <c r="BP173" s="105"/>
      <c r="BQ173" s="105"/>
      <c r="BR173" s="105"/>
      <c r="BS173" s="105"/>
      <c r="BT173" s="105"/>
      <c r="BU173" s="105"/>
      <c r="BV173" s="105"/>
      <c r="BW173" s="105"/>
      <c r="BX173" s="105"/>
      <c r="BY173" s="105"/>
      <c r="BZ173" s="105"/>
      <c r="CA173" s="105"/>
      <c r="CB173" s="105"/>
      <c r="CC173" s="105"/>
      <c r="CD173" s="105"/>
      <c r="CE173" s="105"/>
      <c r="CF173" s="105"/>
      <c r="CG173" s="105"/>
      <c r="CH173" s="105"/>
      <c r="CI173" s="105"/>
      <c r="CJ173" s="105"/>
      <c r="CK173" s="105"/>
      <c r="CL173" s="105"/>
      <c r="CM173" s="105"/>
      <c r="CN173" s="105"/>
      <c r="CO173" s="105"/>
      <c r="CP173" s="105"/>
      <c r="CQ173" s="105"/>
      <c r="CR173" s="105"/>
      <c r="CS173" s="105"/>
      <c r="CT173" s="105"/>
      <c r="CU173" s="105"/>
      <c r="CV173" s="105"/>
      <c r="CW173" s="105"/>
      <c r="CX173" s="105"/>
      <c r="CY173" s="105"/>
      <c r="CZ173" s="104"/>
      <c r="DA173" s="105"/>
      <c r="DB173" s="105"/>
      <c r="DC173" s="105"/>
      <c r="DD173" s="105"/>
      <c r="DE173" s="105"/>
      <c r="DF173" s="105"/>
      <c r="DG173" s="105"/>
      <c r="DH173" s="105"/>
      <c r="DI173" s="105"/>
      <c r="DJ173" s="105"/>
      <c r="DK173" s="104"/>
      <c r="DL173" s="104"/>
    </row>
    <row r="174" ht="12.0" customHeight="1">
      <c r="A174" s="104"/>
      <c r="B174" s="104"/>
      <c r="C174" s="243"/>
      <c r="D174" s="243"/>
      <c r="E174" s="243"/>
      <c r="F174" s="243"/>
      <c r="G174" s="243"/>
      <c r="H174" s="243"/>
      <c r="I174" s="243"/>
      <c r="J174" s="243"/>
      <c r="K174" s="243"/>
      <c r="L174" s="243"/>
      <c r="M174" s="243"/>
      <c r="N174" s="243"/>
      <c r="O174" s="243"/>
      <c r="P174" s="243"/>
      <c r="Q174" s="243"/>
      <c r="R174" s="243"/>
      <c r="S174" s="243"/>
      <c r="T174" s="243"/>
      <c r="U174" s="243"/>
      <c r="V174" s="243"/>
      <c r="W174" s="243"/>
      <c r="X174" s="243"/>
      <c r="Y174" s="243"/>
      <c r="Z174" s="243"/>
      <c r="AA174" s="243"/>
      <c r="AB174" s="243"/>
      <c r="AC174" s="105"/>
      <c r="AD174" s="105"/>
      <c r="AE174" s="105"/>
      <c r="AF174" s="105"/>
      <c r="AG174" s="105"/>
      <c r="AH174" s="105"/>
      <c r="AI174" s="105"/>
      <c r="AJ174" s="105"/>
      <c r="AK174" s="105"/>
      <c r="AL174" s="105"/>
      <c r="AM174" s="105"/>
      <c r="AN174" s="105"/>
      <c r="AO174" s="105"/>
      <c r="AP174" s="105"/>
      <c r="AQ174" s="105"/>
      <c r="AR174" s="105"/>
      <c r="AS174" s="105"/>
      <c r="AT174" s="105"/>
      <c r="AU174" s="105"/>
      <c r="AV174" s="105"/>
      <c r="AW174" s="105"/>
      <c r="AX174" s="105"/>
      <c r="AY174" s="105"/>
      <c r="AZ174" s="105"/>
      <c r="BA174" s="105"/>
      <c r="BB174" s="105"/>
      <c r="BC174" s="105"/>
      <c r="BD174" s="105"/>
      <c r="BE174" s="105"/>
      <c r="BF174" s="105"/>
      <c r="BG174" s="105"/>
      <c r="BH174" s="105"/>
      <c r="BI174" s="105"/>
      <c r="BJ174" s="105"/>
      <c r="BK174" s="105"/>
      <c r="BL174" s="105"/>
      <c r="BM174" s="105"/>
      <c r="BN174" s="105"/>
      <c r="BO174" s="105"/>
      <c r="BP174" s="105"/>
      <c r="BQ174" s="105"/>
      <c r="BR174" s="105"/>
      <c r="BS174" s="105"/>
      <c r="BT174" s="105"/>
      <c r="BU174" s="105"/>
      <c r="BV174" s="105"/>
      <c r="BW174" s="105"/>
      <c r="BX174" s="105"/>
      <c r="BY174" s="105"/>
      <c r="BZ174" s="105"/>
      <c r="CA174" s="105"/>
      <c r="CB174" s="105"/>
      <c r="CC174" s="105"/>
      <c r="CD174" s="105"/>
      <c r="CE174" s="105"/>
      <c r="CF174" s="105"/>
      <c r="CG174" s="105"/>
      <c r="CH174" s="105"/>
      <c r="CI174" s="105"/>
      <c r="CJ174" s="105"/>
      <c r="CK174" s="105"/>
      <c r="CL174" s="105"/>
      <c r="CM174" s="105"/>
      <c r="CN174" s="105"/>
      <c r="CO174" s="105"/>
      <c r="CP174" s="105"/>
      <c r="CQ174" s="105"/>
      <c r="CR174" s="105"/>
      <c r="CS174" s="105"/>
      <c r="CT174" s="105"/>
      <c r="CU174" s="105"/>
      <c r="CV174" s="105"/>
      <c r="CW174" s="105"/>
      <c r="CX174" s="105"/>
      <c r="CY174" s="105"/>
      <c r="CZ174" s="104"/>
      <c r="DA174" s="105"/>
      <c r="DB174" s="105"/>
      <c r="DC174" s="105"/>
      <c r="DD174" s="105"/>
      <c r="DE174" s="105"/>
      <c r="DF174" s="105"/>
      <c r="DG174" s="105"/>
      <c r="DH174" s="105"/>
      <c r="DI174" s="105"/>
      <c r="DJ174" s="105"/>
      <c r="DK174" s="104"/>
      <c r="DL174" s="104"/>
    </row>
    <row r="175" ht="12.0" customHeight="1">
      <c r="A175" s="104"/>
      <c r="B175" s="104"/>
      <c r="C175" s="243"/>
      <c r="D175" s="243"/>
      <c r="E175" s="243"/>
      <c r="F175" s="243"/>
      <c r="G175" s="243"/>
      <c r="H175" s="243"/>
      <c r="I175" s="243"/>
      <c r="J175" s="243"/>
      <c r="K175" s="243"/>
      <c r="L175" s="243"/>
      <c r="M175" s="243"/>
      <c r="N175" s="243"/>
      <c r="O175" s="243"/>
      <c r="P175" s="243"/>
      <c r="Q175" s="243"/>
      <c r="R175" s="243"/>
      <c r="S175" s="243"/>
      <c r="T175" s="243"/>
      <c r="U175" s="243"/>
      <c r="V175" s="243"/>
      <c r="W175" s="243"/>
      <c r="X175" s="243"/>
      <c r="Y175" s="243"/>
      <c r="Z175" s="243"/>
      <c r="AA175" s="243"/>
      <c r="AB175" s="243"/>
      <c r="AC175" s="105"/>
      <c r="AD175" s="105"/>
      <c r="AE175" s="105"/>
      <c r="AF175" s="105"/>
      <c r="AG175" s="105"/>
      <c r="AH175" s="105"/>
      <c r="AI175" s="105"/>
      <c r="AJ175" s="105"/>
      <c r="AK175" s="105"/>
      <c r="AL175" s="105"/>
      <c r="AM175" s="105"/>
      <c r="AN175" s="105"/>
      <c r="AO175" s="105"/>
      <c r="AP175" s="105"/>
      <c r="AQ175" s="105"/>
      <c r="AR175" s="105"/>
      <c r="AS175" s="105"/>
      <c r="AT175" s="105"/>
      <c r="AU175" s="105"/>
      <c r="AV175" s="105"/>
      <c r="AW175" s="105"/>
      <c r="AX175" s="105"/>
      <c r="AY175" s="105"/>
      <c r="AZ175" s="105"/>
      <c r="BA175" s="105"/>
      <c r="BB175" s="105"/>
      <c r="BC175" s="105"/>
      <c r="BD175" s="105"/>
      <c r="BE175" s="105"/>
      <c r="BF175" s="105"/>
      <c r="BG175" s="105"/>
      <c r="BH175" s="105"/>
      <c r="BI175" s="105"/>
      <c r="BJ175" s="105"/>
      <c r="BK175" s="105"/>
      <c r="BL175" s="105"/>
      <c r="BM175" s="105"/>
      <c r="BN175" s="105"/>
      <c r="BO175" s="105"/>
      <c r="BP175" s="105"/>
      <c r="BQ175" s="105"/>
      <c r="BR175" s="105"/>
      <c r="BS175" s="105"/>
      <c r="BT175" s="105"/>
      <c r="BU175" s="105"/>
      <c r="BV175" s="105"/>
      <c r="BW175" s="105"/>
      <c r="BX175" s="105"/>
      <c r="BY175" s="105"/>
      <c r="BZ175" s="105"/>
      <c r="CA175" s="105"/>
      <c r="CB175" s="105"/>
      <c r="CC175" s="105"/>
      <c r="CD175" s="105"/>
      <c r="CE175" s="105"/>
      <c r="CF175" s="105"/>
      <c r="CG175" s="105"/>
      <c r="CH175" s="105"/>
      <c r="CI175" s="105"/>
      <c r="CJ175" s="105"/>
      <c r="CK175" s="105"/>
      <c r="CL175" s="105"/>
      <c r="CM175" s="105"/>
      <c r="CN175" s="105"/>
      <c r="CO175" s="105"/>
      <c r="CP175" s="105"/>
      <c r="CQ175" s="105"/>
      <c r="CR175" s="105"/>
      <c r="CS175" s="105"/>
      <c r="CT175" s="105"/>
      <c r="CU175" s="105"/>
      <c r="CV175" s="105"/>
      <c r="CW175" s="105"/>
      <c r="CX175" s="105"/>
      <c r="CY175" s="105"/>
      <c r="CZ175" s="104"/>
      <c r="DA175" s="105"/>
      <c r="DB175" s="105"/>
      <c r="DC175" s="105"/>
      <c r="DD175" s="105"/>
      <c r="DE175" s="105"/>
      <c r="DF175" s="105"/>
      <c r="DG175" s="105"/>
      <c r="DH175" s="105"/>
      <c r="DI175" s="105"/>
      <c r="DJ175" s="105"/>
      <c r="DK175" s="104"/>
      <c r="DL175" s="104"/>
    </row>
    <row r="176" ht="12.0" customHeight="1">
      <c r="A176" s="104"/>
      <c r="B176" s="104"/>
      <c r="C176" s="243"/>
      <c r="D176" s="243"/>
      <c r="E176" s="243"/>
      <c r="F176" s="243"/>
      <c r="G176" s="243"/>
      <c r="H176" s="243"/>
      <c r="I176" s="243"/>
      <c r="J176" s="243"/>
      <c r="K176" s="243"/>
      <c r="L176" s="243"/>
      <c r="M176" s="243"/>
      <c r="N176" s="243"/>
      <c r="O176" s="243"/>
      <c r="P176" s="243"/>
      <c r="Q176" s="243"/>
      <c r="R176" s="243"/>
      <c r="S176" s="243"/>
      <c r="T176" s="243"/>
      <c r="U176" s="243"/>
      <c r="V176" s="243"/>
      <c r="W176" s="243"/>
      <c r="X176" s="243"/>
      <c r="Y176" s="243"/>
      <c r="Z176" s="243"/>
      <c r="AA176" s="243"/>
      <c r="AB176" s="243"/>
      <c r="AC176" s="105"/>
      <c r="AD176" s="105"/>
      <c r="AE176" s="105"/>
      <c r="AF176" s="105"/>
      <c r="AG176" s="105"/>
      <c r="AH176" s="105"/>
      <c r="AI176" s="105"/>
      <c r="AJ176" s="105"/>
      <c r="AK176" s="105"/>
      <c r="AL176" s="105"/>
      <c r="AM176" s="105"/>
      <c r="AN176" s="105"/>
      <c r="AO176" s="105"/>
      <c r="AP176" s="105"/>
      <c r="AQ176" s="105"/>
      <c r="AR176" s="105"/>
      <c r="AS176" s="105"/>
      <c r="AT176" s="105"/>
      <c r="AU176" s="105"/>
      <c r="AV176" s="105"/>
      <c r="AW176" s="105"/>
      <c r="AX176" s="105"/>
      <c r="AY176" s="105"/>
      <c r="AZ176" s="105"/>
      <c r="BA176" s="105"/>
      <c r="BB176" s="105"/>
      <c r="BC176" s="105"/>
      <c r="BD176" s="105"/>
      <c r="BE176" s="105"/>
      <c r="BF176" s="105"/>
      <c r="BG176" s="105"/>
      <c r="BH176" s="105"/>
      <c r="BI176" s="105"/>
      <c r="BJ176" s="105"/>
      <c r="BK176" s="105"/>
      <c r="BL176" s="105"/>
      <c r="BM176" s="105"/>
      <c r="BN176" s="105"/>
      <c r="BO176" s="105"/>
      <c r="BP176" s="105"/>
      <c r="BQ176" s="105"/>
      <c r="BR176" s="105"/>
      <c r="BS176" s="105"/>
      <c r="BT176" s="105"/>
      <c r="BU176" s="105"/>
      <c r="BV176" s="105"/>
      <c r="BW176" s="105"/>
      <c r="BX176" s="105"/>
      <c r="BY176" s="105"/>
      <c r="BZ176" s="105"/>
      <c r="CA176" s="105"/>
      <c r="CB176" s="105"/>
      <c r="CC176" s="105"/>
      <c r="CD176" s="105"/>
      <c r="CE176" s="105"/>
      <c r="CF176" s="105"/>
      <c r="CG176" s="105"/>
      <c r="CH176" s="105"/>
      <c r="CI176" s="105"/>
      <c r="CJ176" s="105"/>
      <c r="CK176" s="105"/>
      <c r="CL176" s="105"/>
      <c r="CM176" s="105"/>
      <c r="CN176" s="105"/>
      <c r="CO176" s="105"/>
      <c r="CP176" s="105"/>
      <c r="CQ176" s="105"/>
      <c r="CR176" s="105"/>
      <c r="CS176" s="105"/>
      <c r="CT176" s="105"/>
      <c r="CU176" s="105"/>
      <c r="CV176" s="105"/>
      <c r="CW176" s="105"/>
      <c r="CX176" s="105"/>
      <c r="CY176" s="105"/>
      <c r="CZ176" s="104"/>
      <c r="DA176" s="105"/>
      <c r="DB176" s="105"/>
      <c r="DC176" s="105"/>
      <c r="DD176" s="105"/>
      <c r="DE176" s="105"/>
      <c r="DF176" s="105"/>
      <c r="DG176" s="105"/>
      <c r="DH176" s="105"/>
      <c r="DI176" s="105"/>
      <c r="DJ176" s="105"/>
      <c r="DK176" s="104"/>
      <c r="DL176" s="104"/>
    </row>
    <row r="177" ht="12.0" customHeight="1">
      <c r="A177" s="104"/>
      <c r="B177" s="104"/>
      <c r="C177" s="243"/>
      <c r="D177" s="243"/>
      <c r="E177" s="243"/>
      <c r="F177" s="243"/>
      <c r="G177" s="243"/>
      <c r="H177" s="243"/>
      <c r="I177" s="243"/>
      <c r="J177" s="243"/>
      <c r="K177" s="243"/>
      <c r="L177" s="243"/>
      <c r="M177" s="243"/>
      <c r="N177" s="243"/>
      <c r="O177" s="243"/>
      <c r="P177" s="243"/>
      <c r="Q177" s="243"/>
      <c r="R177" s="243"/>
      <c r="S177" s="243"/>
      <c r="T177" s="243"/>
      <c r="U177" s="243"/>
      <c r="V177" s="243"/>
      <c r="W177" s="243"/>
      <c r="X177" s="243"/>
      <c r="Y177" s="243"/>
      <c r="Z177" s="243"/>
      <c r="AA177" s="243"/>
      <c r="AB177" s="243"/>
      <c r="AC177" s="105"/>
      <c r="AD177" s="105"/>
      <c r="AE177" s="105"/>
      <c r="AF177" s="105"/>
      <c r="AG177" s="105"/>
      <c r="AH177" s="105"/>
      <c r="AI177" s="105"/>
      <c r="AJ177" s="105"/>
      <c r="AK177" s="105"/>
      <c r="AL177" s="105"/>
      <c r="AM177" s="105"/>
      <c r="AN177" s="105"/>
      <c r="AO177" s="105"/>
      <c r="AP177" s="105"/>
      <c r="AQ177" s="105"/>
      <c r="AR177" s="105"/>
      <c r="AS177" s="105"/>
      <c r="AT177" s="105"/>
      <c r="AU177" s="105"/>
      <c r="AV177" s="105"/>
      <c r="AW177" s="105"/>
      <c r="AX177" s="105"/>
      <c r="AY177" s="105"/>
      <c r="AZ177" s="105"/>
      <c r="BA177" s="105"/>
      <c r="BB177" s="105"/>
      <c r="BC177" s="105"/>
      <c r="BD177" s="105"/>
      <c r="BE177" s="105"/>
      <c r="BF177" s="105"/>
      <c r="BG177" s="105"/>
      <c r="BH177" s="105"/>
      <c r="BI177" s="105"/>
      <c r="BJ177" s="105"/>
      <c r="BK177" s="105"/>
      <c r="BL177" s="105"/>
      <c r="BM177" s="105"/>
      <c r="BN177" s="105"/>
      <c r="BO177" s="105"/>
      <c r="BP177" s="105"/>
      <c r="BQ177" s="105"/>
      <c r="BR177" s="105"/>
      <c r="BS177" s="105"/>
      <c r="BT177" s="105"/>
      <c r="BU177" s="105"/>
      <c r="BV177" s="105"/>
      <c r="BW177" s="105"/>
      <c r="BX177" s="105"/>
      <c r="BY177" s="105"/>
      <c r="BZ177" s="105"/>
      <c r="CA177" s="105"/>
      <c r="CB177" s="105"/>
      <c r="CC177" s="105"/>
      <c r="CD177" s="105"/>
      <c r="CE177" s="105"/>
      <c r="CF177" s="105"/>
      <c r="CG177" s="105"/>
      <c r="CH177" s="105"/>
      <c r="CI177" s="105"/>
      <c r="CJ177" s="105"/>
      <c r="CK177" s="105"/>
      <c r="CL177" s="105"/>
      <c r="CM177" s="105"/>
      <c r="CN177" s="105"/>
      <c r="CO177" s="105"/>
      <c r="CP177" s="105"/>
      <c r="CQ177" s="105"/>
      <c r="CR177" s="105"/>
      <c r="CS177" s="105"/>
      <c r="CT177" s="105"/>
      <c r="CU177" s="105"/>
      <c r="CV177" s="105"/>
      <c r="CW177" s="105"/>
      <c r="CX177" s="105"/>
      <c r="CY177" s="105"/>
      <c r="CZ177" s="104"/>
      <c r="DA177" s="105"/>
      <c r="DB177" s="105"/>
      <c r="DC177" s="105"/>
      <c r="DD177" s="105"/>
      <c r="DE177" s="105"/>
      <c r="DF177" s="105"/>
      <c r="DG177" s="105"/>
      <c r="DH177" s="105"/>
      <c r="DI177" s="105"/>
      <c r="DJ177" s="105"/>
      <c r="DK177" s="104"/>
      <c r="DL177" s="104"/>
    </row>
    <row r="178" ht="12.0" customHeight="1">
      <c r="A178" s="104"/>
      <c r="B178" s="104"/>
      <c r="C178" s="243"/>
      <c r="D178" s="243"/>
      <c r="E178" s="243"/>
      <c r="F178" s="243"/>
      <c r="G178" s="243"/>
      <c r="H178" s="243"/>
      <c r="I178" s="243"/>
      <c r="J178" s="243"/>
      <c r="K178" s="243"/>
      <c r="L178" s="243"/>
      <c r="M178" s="243"/>
      <c r="N178" s="243"/>
      <c r="O178" s="243"/>
      <c r="P178" s="243"/>
      <c r="Q178" s="243"/>
      <c r="R178" s="243"/>
      <c r="S178" s="243"/>
      <c r="T178" s="243"/>
      <c r="U178" s="243"/>
      <c r="V178" s="243"/>
      <c r="W178" s="243"/>
      <c r="X178" s="243"/>
      <c r="Y178" s="243"/>
      <c r="Z178" s="243"/>
      <c r="AA178" s="243"/>
      <c r="AB178" s="243"/>
      <c r="AC178" s="105"/>
      <c r="AD178" s="105"/>
      <c r="AE178" s="105"/>
      <c r="AF178" s="105"/>
      <c r="AG178" s="105"/>
      <c r="AH178" s="105"/>
      <c r="AI178" s="105"/>
      <c r="AJ178" s="105"/>
      <c r="AK178" s="105"/>
      <c r="AL178" s="105"/>
      <c r="AM178" s="105"/>
      <c r="AN178" s="105"/>
      <c r="AO178" s="105"/>
      <c r="AP178" s="105"/>
      <c r="AQ178" s="105"/>
      <c r="AR178" s="105"/>
      <c r="AS178" s="105"/>
      <c r="AT178" s="105"/>
      <c r="AU178" s="105"/>
      <c r="AV178" s="105"/>
      <c r="AW178" s="105"/>
      <c r="AX178" s="105"/>
      <c r="AY178" s="105"/>
      <c r="AZ178" s="105"/>
      <c r="BA178" s="105"/>
      <c r="BB178" s="105"/>
      <c r="BC178" s="105"/>
      <c r="BD178" s="105"/>
      <c r="BE178" s="105"/>
      <c r="BF178" s="105"/>
      <c r="BG178" s="105"/>
      <c r="BH178" s="105"/>
      <c r="BI178" s="105"/>
      <c r="BJ178" s="105"/>
      <c r="BK178" s="105"/>
      <c r="BL178" s="105"/>
      <c r="BM178" s="105"/>
      <c r="BN178" s="105"/>
      <c r="BO178" s="105"/>
      <c r="BP178" s="105"/>
      <c r="BQ178" s="105"/>
      <c r="BR178" s="105"/>
      <c r="BS178" s="105"/>
      <c r="BT178" s="105"/>
      <c r="BU178" s="105"/>
      <c r="BV178" s="105"/>
      <c r="BW178" s="105"/>
      <c r="BX178" s="105"/>
      <c r="BY178" s="105"/>
      <c r="BZ178" s="105"/>
      <c r="CA178" s="105"/>
      <c r="CB178" s="105"/>
      <c r="CC178" s="105"/>
      <c r="CD178" s="105"/>
      <c r="CE178" s="105"/>
      <c r="CF178" s="105"/>
      <c r="CG178" s="105"/>
      <c r="CH178" s="105"/>
      <c r="CI178" s="105"/>
      <c r="CJ178" s="105"/>
      <c r="CK178" s="105"/>
      <c r="CL178" s="105"/>
      <c r="CM178" s="105"/>
      <c r="CN178" s="105"/>
      <c r="CO178" s="105"/>
      <c r="CP178" s="105"/>
      <c r="CQ178" s="105"/>
      <c r="CR178" s="105"/>
      <c r="CS178" s="105"/>
      <c r="CT178" s="105"/>
      <c r="CU178" s="105"/>
      <c r="CV178" s="105"/>
      <c r="CW178" s="105"/>
      <c r="CX178" s="105"/>
      <c r="CY178" s="105"/>
      <c r="CZ178" s="104"/>
      <c r="DA178" s="105"/>
      <c r="DB178" s="105"/>
      <c r="DC178" s="105"/>
      <c r="DD178" s="105"/>
      <c r="DE178" s="105"/>
      <c r="DF178" s="105"/>
      <c r="DG178" s="105"/>
      <c r="DH178" s="105"/>
      <c r="DI178" s="105"/>
      <c r="DJ178" s="105"/>
      <c r="DK178" s="104"/>
      <c r="DL178" s="104"/>
    </row>
    <row r="179" ht="12.0" customHeight="1">
      <c r="A179" s="104"/>
      <c r="B179" s="104"/>
      <c r="C179" s="243"/>
      <c r="D179" s="243"/>
      <c r="E179" s="243"/>
      <c r="F179" s="243"/>
      <c r="G179" s="243"/>
      <c r="H179" s="243"/>
      <c r="I179" s="243"/>
      <c r="J179" s="243"/>
      <c r="K179" s="243"/>
      <c r="L179" s="243"/>
      <c r="M179" s="243"/>
      <c r="N179" s="243"/>
      <c r="O179" s="243"/>
      <c r="P179" s="243"/>
      <c r="Q179" s="243"/>
      <c r="R179" s="243"/>
      <c r="S179" s="243"/>
      <c r="T179" s="243"/>
      <c r="U179" s="243"/>
      <c r="V179" s="243"/>
      <c r="W179" s="243"/>
      <c r="X179" s="243"/>
      <c r="Y179" s="243"/>
      <c r="Z179" s="243"/>
      <c r="AA179" s="243"/>
      <c r="AB179" s="243"/>
      <c r="AC179" s="105"/>
      <c r="AD179" s="105"/>
      <c r="AE179" s="105"/>
      <c r="AF179" s="105"/>
      <c r="AG179" s="105"/>
      <c r="AH179" s="105"/>
      <c r="AI179" s="105"/>
      <c r="AJ179" s="105"/>
      <c r="AK179" s="105"/>
      <c r="AL179" s="105"/>
      <c r="AM179" s="105"/>
      <c r="AN179" s="105"/>
      <c r="AO179" s="105"/>
      <c r="AP179" s="105"/>
      <c r="AQ179" s="105"/>
      <c r="AR179" s="105"/>
      <c r="AS179" s="105"/>
      <c r="AT179" s="105"/>
      <c r="AU179" s="105"/>
      <c r="AV179" s="105"/>
      <c r="AW179" s="105"/>
      <c r="AX179" s="105"/>
      <c r="AY179" s="105"/>
      <c r="AZ179" s="105"/>
      <c r="BA179" s="105"/>
      <c r="BB179" s="105"/>
      <c r="BC179" s="105"/>
      <c r="BD179" s="105"/>
      <c r="BE179" s="105"/>
      <c r="BF179" s="105"/>
      <c r="BG179" s="105"/>
      <c r="BH179" s="105"/>
      <c r="BI179" s="105"/>
      <c r="BJ179" s="105"/>
      <c r="BK179" s="105"/>
      <c r="BL179" s="105"/>
      <c r="BM179" s="105"/>
      <c r="BN179" s="105"/>
      <c r="BO179" s="105"/>
      <c r="BP179" s="105"/>
      <c r="BQ179" s="105"/>
      <c r="BR179" s="105"/>
      <c r="BS179" s="105"/>
      <c r="BT179" s="105"/>
      <c r="BU179" s="105"/>
      <c r="BV179" s="105"/>
      <c r="BW179" s="105"/>
      <c r="BX179" s="105"/>
      <c r="BY179" s="105"/>
      <c r="BZ179" s="105"/>
      <c r="CA179" s="105"/>
      <c r="CB179" s="105"/>
      <c r="CC179" s="105"/>
      <c r="CD179" s="105"/>
      <c r="CE179" s="105"/>
      <c r="CF179" s="105"/>
      <c r="CG179" s="105"/>
      <c r="CH179" s="105"/>
      <c r="CI179" s="105"/>
      <c r="CJ179" s="105"/>
      <c r="CK179" s="105"/>
      <c r="CL179" s="105"/>
      <c r="CM179" s="105"/>
      <c r="CN179" s="105"/>
      <c r="CO179" s="105"/>
      <c r="CP179" s="105"/>
      <c r="CQ179" s="105"/>
      <c r="CR179" s="105"/>
      <c r="CS179" s="105"/>
      <c r="CT179" s="105"/>
      <c r="CU179" s="105"/>
      <c r="CV179" s="105"/>
      <c r="CW179" s="105"/>
      <c r="CX179" s="105"/>
      <c r="CY179" s="105"/>
      <c r="CZ179" s="104"/>
      <c r="DA179" s="105"/>
      <c r="DB179" s="105"/>
      <c r="DC179" s="105"/>
      <c r="DD179" s="105"/>
      <c r="DE179" s="105"/>
      <c r="DF179" s="105"/>
      <c r="DG179" s="105"/>
      <c r="DH179" s="105"/>
      <c r="DI179" s="105"/>
      <c r="DJ179" s="105"/>
      <c r="DK179" s="104"/>
      <c r="DL179" s="104"/>
    </row>
    <row r="180" ht="12.0" customHeight="1">
      <c r="A180" s="104"/>
      <c r="B180" s="104"/>
      <c r="C180" s="243"/>
      <c r="D180" s="243"/>
      <c r="E180" s="243"/>
      <c r="F180" s="243"/>
      <c r="G180" s="243"/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3"/>
      <c r="S180" s="243"/>
      <c r="T180" s="243"/>
      <c r="U180" s="243"/>
      <c r="V180" s="243"/>
      <c r="W180" s="243"/>
      <c r="X180" s="243"/>
      <c r="Y180" s="243"/>
      <c r="Z180" s="243"/>
      <c r="AA180" s="243"/>
      <c r="AB180" s="243"/>
      <c r="AC180" s="105"/>
      <c r="AD180" s="105"/>
      <c r="AE180" s="105"/>
      <c r="AF180" s="105"/>
      <c r="AG180" s="105"/>
      <c r="AH180" s="105"/>
      <c r="AI180" s="105"/>
      <c r="AJ180" s="105"/>
      <c r="AK180" s="105"/>
      <c r="AL180" s="105"/>
      <c r="AM180" s="105"/>
      <c r="AN180" s="105"/>
      <c r="AO180" s="105"/>
      <c r="AP180" s="105"/>
      <c r="AQ180" s="105"/>
      <c r="AR180" s="105"/>
      <c r="AS180" s="105"/>
      <c r="AT180" s="105"/>
      <c r="AU180" s="105"/>
      <c r="AV180" s="105"/>
      <c r="AW180" s="105"/>
      <c r="AX180" s="105"/>
      <c r="AY180" s="105"/>
      <c r="AZ180" s="105"/>
      <c r="BA180" s="105"/>
      <c r="BB180" s="105"/>
      <c r="BC180" s="105"/>
      <c r="BD180" s="105"/>
      <c r="BE180" s="105"/>
      <c r="BF180" s="105"/>
      <c r="BG180" s="105"/>
      <c r="BH180" s="105"/>
      <c r="BI180" s="105"/>
      <c r="BJ180" s="105"/>
      <c r="BK180" s="105"/>
      <c r="BL180" s="105"/>
      <c r="BM180" s="105"/>
      <c r="BN180" s="105"/>
      <c r="BO180" s="105"/>
      <c r="BP180" s="105"/>
      <c r="BQ180" s="105"/>
      <c r="BR180" s="105"/>
      <c r="BS180" s="105"/>
      <c r="BT180" s="105"/>
      <c r="BU180" s="105"/>
      <c r="BV180" s="105"/>
      <c r="BW180" s="105"/>
      <c r="BX180" s="105"/>
      <c r="BY180" s="105"/>
      <c r="BZ180" s="105"/>
      <c r="CA180" s="105"/>
      <c r="CB180" s="105"/>
      <c r="CC180" s="105"/>
      <c r="CD180" s="105"/>
      <c r="CE180" s="105"/>
      <c r="CF180" s="105"/>
      <c r="CG180" s="105"/>
      <c r="CH180" s="105"/>
      <c r="CI180" s="105"/>
      <c r="CJ180" s="105"/>
      <c r="CK180" s="105"/>
      <c r="CL180" s="105"/>
      <c r="CM180" s="105"/>
      <c r="CN180" s="105"/>
      <c r="CO180" s="105"/>
      <c r="CP180" s="105"/>
      <c r="CQ180" s="105"/>
      <c r="CR180" s="105"/>
      <c r="CS180" s="105"/>
      <c r="CT180" s="105"/>
      <c r="CU180" s="105"/>
      <c r="CV180" s="105"/>
      <c r="CW180" s="105"/>
      <c r="CX180" s="105"/>
      <c r="CY180" s="105"/>
      <c r="CZ180" s="104"/>
      <c r="DA180" s="105"/>
      <c r="DB180" s="105"/>
      <c r="DC180" s="105"/>
      <c r="DD180" s="105"/>
      <c r="DE180" s="105"/>
      <c r="DF180" s="105"/>
      <c r="DG180" s="105"/>
      <c r="DH180" s="105"/>
      <c r="DI180" s="105"/>
      <c r="DJ180" s="105"/>
      <c r="DK180" s="104"/>
      <c r="DL180" s="104"/>
    </row>
    <row r="181" ht="12.0" customHeight="1">
      <c r="A181" s="104"/>
      <c r="B181" s="104"/>
      <c r="C181" s="243"/>
      <c r="D181" s="243"/>
      <c r="E181" s="243"/>
      <c r="F181" s="243"/>
      <c r="G181" s="243"/>
      <c r="H181" s="243"/>
      <c r="I181" s="243"/>
      <c r="J181" s="243"/>
      <c r="K181" s="243"/>
      <c r="L181" s="243"/>
      <c r="M181" s="243"/>
      <c r="N181" s="243"/>
      <c r="O181" s="243"/>
      <c r="P181" s="243"/>
      <c r="Q181" s="243"/>
      <c r="R181" s="243"/>
      <c r="S181" s="243"/>
      <c r="T181" s="243"/>
      <c r="U181" s="243"/>
      <c r="V181" s="243"/>
      <c r="W181" s="243"/>
      <c r="X181" s="243"/>
      <c r="Y181" s="243"/>
      <c r="Z181" s="243"/>
      <c r="AA181" s="243"/>
      <c r="AB181" s="243"/>
      <c r="AC181" s="105"/>
      <c r="AD181" s="105"/>
      <c r="AE181" s="105"/>
      <c r="AF181" s="105"/>
      <c r="AG181" s="105"/>
      <c r="AH181" s="105"/>
      <c r="AI181" s="105"/>
      <c r="AJ181" s="105"/>
      <c r="AK181" s="105"/>
      <c r="AL181" s="105"/>
      <c r="AM181" s="105"/>
      <c r="AN181" s="105"/>
      <c r="AO181" s="105"/>
      <c r="AP181" s="105"/>
      <c r="AQ181" s="105"/>
      <c r="AR181" s="105"/>
      <c r="AS181" s="105"/>
      <c r="AT181" s="105"/>
      <c r="AU181" s="105"/>
      <c r="AV181" s="105"/>
      <c r="AW181" s="105"/>
      <c r="AX181" s="105"/>
      <c r="AY181" s="105"/>
      <c r="AZ181" s="105"/>
      <c r="BA181" s="105"/>
      <c r="BB181" s="105"/>
      <c r="BC181" s="105"/>
      <c r="BD181" s="105"/>
      <c r="BE181" s="105"/>
      <c r="BF181" s="105"/>
      <c r="BG181" s="105"/>
      <c r="BH181" s="105"/>
      <c r="BI181" s="105"/>
      <c r="BJ181" s="105"/>
      <c r="BK181" s="105"/>
      <c r="BL181" s="105"/>
      <c r="BM181" s="105"/>
      <c r="BN181" s="105"/>
      <c r="BO181" s="105"/>
      <c r="BP181" s="105"/>
      <c r="BQ181" s="105"/>
      <c r="BR181" s="105"/>
      <c r="BS181" s="105"/>
      <c r="BT181" s="105"/>
      <c r="BU181" s="105"/>
      <c r="BV181" s="105"/>
      <c r="BW181" s="105"/>
      <c r="BX181" s="105"/>
      <c r="BY181" s="105"/>
      <c r="BZ181" s="105"/>
      <c r="CA181" s="105"/>
      <c r="CB181" s="105"/>
      <c r="CC181" s="105"/>
      <c r="CD181" s="105"/>
      <c r="CE181" s="105"/>
      <c r="CF181" s="105"/>
      <c r="CG181" s="105"/>
      <c r="CH181" s="105"/>
      <c r="CI181" s="105"/>
      <c r="CJ181" s="105"/>
      <c r="CK181" s="105"/>
      <c r="CL181" s="105"/>
      <c r="CM181" s="105"/>
      <c r="CN181" s="105"/>
      <c r="CO181" s="105"/>
      <c r="CP181" s="105"/>
      <c r="CQ181" s="105"/>
      <c r="CR181" s="105"/>
      <c r="CS181" s="105"/>
      <c r="CT181" s="105"/>
      <c r="CU181" s="105"/>
      <c r="CV181" s="105"/>
      <c r="CW181" s="105"/>
      <c r="CX181" s="105"/>
      <c r="CY181" s="105"/>
      <c r="CZ181" s="104"/>
      <c r="DA181" s="105"/>
      <c r="DB181" s="105"/>
      <c r="DC181" s="105"/>
      <c r="DD181" s="105"/>
      <c r="DE181" s="105"/>
      <c r="DF181" s="105"/>
      <c r="DG181" s="105"/>
      <c r="DH181" s="105"/>
      <c r="DI181" s="105"/>
      <c r="DJ181" s="105"/>
      <c r="DK181" s="104"/>
      <c r="DL181" s="104"/>
    </row>
    <row r="182" ht="12.0" customHeight="1">
      <c r="A182" s="104"/>
      <c r="B182" s="104"/>
      <c r="C182" s="243"/>
      <c r="D182" s="243"/>
      <c r="E182" s="243"/>
      <c r="F182" s="243"/>
      <c r="G182" s="243"/>
      <c r="H182" s="243"/>
      <c r="I182" s="243"/>
      <c r="J182" s="243"/>
      <c r="K182" s="243"/>
      <c r="L182" s="243"/>
      <c r="M182" s="243"/>
      <c r="N182" s="243"/>
      <c r="O182" s="243"/>
      <c r="P182" s="243"/>
      <c r="Q182" s="243"/>
      <c r="R182" s="243"/>
      <c r="S182" s="243"/>
      <c r="T182" s="243"/>
      <c r="U182" s="243"/>
      <c r="V182" s="243"/>
      <c r="W182" s="243"/>
      <c r="X182" s="243"/>
      <c r="Y182" s="243"/>
      <c r="Z182" s="243"/>
      <c r="AA182" s="243"/>
      <c r="AB182" s="243"/>
      <c r="AC182" s="105"/>
      <c r="AD182" s="105"/>
      <c r="AE182" s="105"/>
      <c r="AF182" s="105"/>
      <c r="AG182" s="105"/>
      <c r="AH182" s="105"/>
      <c r="AI182" s="105"/>
      <c r="AJ182" s="105"/>
      <c r="AK182" s="105"/>
      <c r="AL182" s="105"/>
      <c r="AM182" s="105"/>
      <c r="AN182" s="105"/>
      <c r="AO182" s="105"/>
      <c r="AP182" s="105"/>
      <c r="AQ182" s="105"/>
      <c r="AR182" s="105"/>
      <c r="AS182" s="105"/>
      <c r="AT182" s="105"/>
      <c r="AU182" s="105"/>
      <c r="AV182" s="105"/>
      <c r="AW182" s="105"/>
      <c r="AX182" s="105"/>
      <c r="AY182" s="105"/>
      <c r="AZ182" s="105"/>
      <c r="BA182" s="105"/>
      <c r="BB182" s="105"/>
      <c r="BC182" s="105"/>
      <c r="BD182" s="105"/>
      <c r="BE182" s="105"/>
      <c r="BF182" s="105"/>
      <c r="BG182" s="105"/>
      <c r="BH182" s="105"/>
      <c r="BI182" s="105"/>
      <c r="BJ182" s="105"/>
      <c r="BK182" s="105"/>
      <c r="BL182" s="105"/>
      <c r="BM182" s="105"/>
      <c r="BN182" s="105"/>
      <c r="BO182" s="105"/>
      <c r="BP182" s="105"/>
      <c r="BQ182" s="105"/>
      <c r="BR182" s="105"/>
      <c r="BS182" s="105"/>
      <c r="BT182" s="105"/>
      <c r="BU182" s="105"/>
      <c r="BV182" s="105"/>
      <c r="BW182" s="105"/>
      <c r="BX182" s="105"/>
      <c r="BY182" s="105"/>
      <c r="BZ182" s="105"/>
      <c r="CA182" s="105"/>
      <c r="CB182" s="105"/>
      <c r="CC182" s="105"/>
      <c r="CD182" s="105"/>
      <c r="CE182" s="105"/>
      <c r="CF182" s="105"/>
      <c r="CG182" s="105"/>
      <c r="CH182" s="105"/>
      <c r="CI182" s="105"/>
      <c r="CJ182" s="105"/>
      <c r="CK182" s="105"/>
      <c r="CL182" s="105"/>
      <c r="CM182" s="105"/>
      <c r="CN182" s="105"/>
      <c r="CO182" s="105"/>
      <c r="CP182" s="105"/>
      <c r="CQ182" s="105"/>
      <c r="CR182" s="105"/>
      <c r="CS182" s="105"/>
      <c r="CT182" s="105"/>
      <c r="CU182" s="105"/>
      <c r="CV182" s="105"/>
      <c r="CW182" s="105"/>
      <c r="CX182" s="105"/>
      <c r="CY182" s="105"/>
      <c r="CZ182" s="104"/>
      <c r="DA182" s="105"/>
      <c r="DB182" s="105"/>
      <c r="DC182" s="105"/>
      <c r="DD182" s="105"/>
      <c r="DE182" s="105"/>
      <c r="DF182" s="105"/>
      <c r="DG182" s="105"/>
      <c r="DH182" s="105"/>
      <c r="DI182" s="105"/>
      <c r="DJ182" s="105"/>
      <c r="DK182" s="104"/>
      <c r="DL182" s="104"/>
    </row>
    <row r="183" ht="12.0" customHeight="1">
      <c r="A183" s="104"/>
      <c r="B183" s="104"/>
      <c r="C183" s="243"/>
      <c r="D183" s="243"/>
      <c r="E183" s="243"/>
      <c r="F183" s="243"/>
      <c r="G183" s="243"/>
      <c r="H183" s="243"/>
      <c r="I183" s="243"/>
      <c r="J183" s="243"/>
      <c r="K183" s="243"/>
      <c r="L183" s="243"/>
      <c r="M183" s="243"/>
      <c r="N183" s="243"/>
      <c r="O183" s="243"/>
      <c r="P183" s="243"/>
      <c r="Q183" s="243"/>
      <c r="R183" s="243"/>
      <c r="S183" s="243"/>
      <c r="T183" s="243"/>
      <c r="U183" s="243"/>
      <c r="V183" s="243"/>
      <c r="W183" s="243"/>
      <c r="X183" s="243"/>
      <c r="Y183" s="243"/>
      <c r="Z183" s="243"/>
      <c r="AA183" s="243"/>
      <c r="AB183" s="243"/>
      <c r="AC183" s="105"/>
      <c r="AD183" s="105"/>
      <c r="AE183" s="105"/>
      <c r="AF183" s="105"/>
      <c r="AG183" s="105"/>
      <c r="AH183" s="105"/>
      <c r="AI183" s="105"/>
      <c r="AJ183" s="105"/>
      <c r="AK183" s="105"/>
      <c r="AL183" s="105"/>
      <c r="AM183" s="105"/>
      <c r="AN183" s="105"/>
      <c r="AO183" s="105"/>
      <c r="AP183" s="105"/>
      <c r="AQ183" s="105"/>
      <c r="AR183" s="105"/>
      <c r="AS183" s="105"/>
      <c r="AT183" s="105"/>
      <c r="AU183" s="105"/>
      <c r="AV183" s="105"/>
      <c r="AW183" s="105"/>
      <c r="AX183" s="105"/>
      <c r="AY183" s="105"/>
      <c r="AZ183" s="105"/>
      <c r="BA183" s="105"/>
      <c r="BB183" s="105"/>
      <c r="BC183" s="105"/>
      <c r="BD183" s="105"/>
      <c r="BE183" s="105"/>
      <c r="BF183" s="105"/>
      <c r="BG183" s="105"/>
      <c r="BH183" s="105"/>
      <c r="BI183" s="105"/>
      <c r="BJ183" s="105"/>
      <c r="BK183" s="105"/>
      <c r="BL183" s="105"/>
      <c r="BM183" s="105"/>
      <c r="BN183" s="105"/>
      <c r="BO183" s="105"/>
      <c r="BP183" s="105"/>
      <c r="BQ183" s="105"/>
      <c r="BR183" s="105"/>
      <c r="BS183" s="105"/>
      <c r="BT183" s="105"/>
      <c r="BU183" s="105"/>
      <c r="BV183" s="105"/>
      <c r="BW183" s="105"/>
      <c r="BX183" s="105"/>
      <c r="BY183" s="105"/>
      <c r="BZ183" s="105"/>
      <c r="CA183" s="105"/>
      <c r="CB183" s="105"/>
      <c r="CC183" s="105"/>
      <c r="CD183" s="105"/>
      <c r="CE183" s="105"/>
      <c r="CF183" s="105"/>
      <c r="CG183" s="105"/>
      <c r="CH183" s="105"/>
      <c r="CI183" s="105"/>
      <c r="CJ183" s="105"/>
      <c r="CK183" s="105"/>
      <c r="CL183" s="105"/>
      <c r="CM183" s="105"/>
      <c r="CN183" s="105"/>
      <c r="CO183" s="105"/>
      <c r="CP183" s="105"/>
      <c r="CQ183" s="105"/>
      <c r="CR183" s="105"/>
      <c r="CS183" s="105"/>
      <c r="CT183" s="105"/>
      <c r="CU183" s="105"/>
      <c r="CV183" s="105"/>
      <c r="CW183" s="105"/>
      <c r="CX183" s="105"/>
      <c r="CY183" s="105"/>
      <c r="CZ183" s="104"/>
      <c r="DA183" s="105"/>
      <c r="DB183" s="105"/>
      <c r="DC183" s="105"/>
      <c r="DD183" s="105"/>
      <c r="DE183" s="105"/>
      <c r="DF183" s="105"/>
      <c r="DG183" s="105"/>
      <c r="DH183" s="105"/>
      <c r="DI183" s="105"/>
      <c r="DJ183" s="105"/>
      <c r="DK183" s="104"/>
      <c r="DL183" s="104"/>
    </row>
    <row r="184" ht="12.0" customHeight="1">
      <c r="A184" s="104"/>
      <c r="B184" s="104"/>
      <c r="C184" s="243"/>
      <c r="D184" s="243"/>
      <c r="E184" s="243"/>
      <c r="F184" s="243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3"/>
      <c r="S184" s="243"/>
      <c r="T184" s="243"/>
      <c r="U184" s="243"/>
      <c r="V184" s="243"/>
      <c r="W184" s="243"/>
      <c r="X184" s="243"/>
      <c r="Y184" s="243"/>
      <c r="Z184" s="243"/>
      <c r="AA184" s="243"/>
      <c r="AB184" s="243"/>
      <c r="AC184" s="105"/>
      <c r="AD184" s="105"/>
      <c r="AE184" s="105"/>
      <c r="AF184" s="105"/>
      <c r="AG184" s="105"/>
      <c r="AH184" s="105"/>
      <c r="AI184" s="105"/>
      <c r="AJ184" s="105"/>
      <c r="AK184" s="105"/>
      <c r="AL184" s="105"/>
      <c r="AM184" s="105"/>
      <c r="AN184" s="105"/>
      <c r="AO184" s="105"/>
      <c r="AP184" s="105"/>
      <c r="AQ184" s="105"/>
      <c r="AR184" s="105"/>
      <c r="AS184" s="105"/>
      <c r="AT184" s="105"/>
      <c r="AU184" s="105"/>
      <c r="AV184" s="105"/>
      <c r="AW184" s="105"/>
      <c r="AX184" s="105"/>
      <c r="AY184" s="105"/>
      <c r="AZ184" s="105"/>
      <c r="BA184" s="105"/>
      <c r="BB184" s="105"/>
      <c r="BC184" s="105"/>
      <c r="BD184" s="105"/>
      <c r="BE184" s="105"/>
      <c r="BF184" s="105"/>
      <c r="BG184" s="105"/>
      <c r="BH184" s="105"/>
      <c r="BI184" s="105"/>
      <c r="BJ184" s="105"/>
      <c r="BK184" s="105"/>
      <c r="BL184" s="105"/>
      <c r="BM184" s="105"/>
      <c r="BN184" s="105"/>
      <c r="BO184" s="105"/>
      <c r="BP184" s="105"/>
      <c r="BQ184" s="105"/>
      <c r="BR184" s="105"/>
      <c r="BS184" s="105"/>
      <c r="BT184" s="105"/>
      <c r="BU184" s="105"/>
      <c r="BV184" s="105"/>
      <c r="BW184" s="105"/>
      <c r="BX184" s="105"/>
      <c r="BY184" s="105"/>
      <c r="BZ184" s="105"/>
      <c r="CA184" s="105"/>
      <c r="CB184" s="105"/>
      <c r="CC184" s="105"/>
      <c r="CD184" s="105"/>
      <c r="CE184" s="105"/>
      <c r="CF184" s="105"/>
      <c r="CG184" s="105"/>
      <c r="CH184" s="105"/>
      <c r="CI184" s="105"/>
      <c r="CJ184" s="105"/>
      <c r="CK184" s="105"/>
      <c r="CL184" s="105"/>
      <c r="CM184" s="105"/>
      <c r="CN184" s="105"/>
      <c r="CO184" s="105"/>
      <c r="CP184" s="105"/>
      <c r="CQ184" s="105"/>
      <c r="CR184" s="105"/>
      <c r="CS184" s="105"/>
      <c r="CT184" s="105"/>
      <c r="CU184" s="105"/>
      <c r="CV184" s="105"/>
      <c r="CW184" s="105"/>
      <c r="CX184" s="105"/>
      <c r="CY184" s="105"/>
      <c r="CZ184" s="104"/>
      <c r="DA184" s="105"/>
      <c r="DB184" s="105"/>
      <c r="DC184" s="105"/>
      <c r="DD184" s="105"/>
      <c r="DE184" s="105"/>
      <c r="DF184" s="105"/>
      <c r="DG184" s="105"/>
      <c r="DH184" s="105"/>
      <c r="DI184" s="105"/>
      <c r="DJ184" s="105"/>
      <c r="DK184" s="104"/>
      <c r="DL184" s="104"/>
    </row>
    <row r="185" ht="12.0" customHeight="1">
      <c r="A185" s="104"/>
      <c r="B185" s="104"/>
      <c r="C185" s="243"/>
      <c r="D185" s="243"/>
      <c r="E185" s="243"/>
      <c r="F185" s="243"/>
      <c r="G185" s="243"/>
      <c r="H185" s="243"/>
      <c r="I185" s="243"/>
      <c r="J185" s="243"/>
      <c r="K185" s="243"/>
      <c r="L185" s="243"/>
      <c r="M185" s="243"/>
      <c r="N185" s="243"/>
      <c r="O185" s="243"/>
      <c r="P185" s="243"/>
      <c r="Q185" s="243"/>
      <c r="R185" s="243"/>
      <c r="S185" s="243"/>
      <c r="T185" s="243"/>
      <c r="U185" s="243"/>
      <c r="V185" s="243"/>
      <c r="W185" s="243"/>
      <c r="X185" s="243"/>
      <c r="Y185" s="243"/>
      <c r="Z185" s="243"/>
      <c r="AA185" s="243"/>
      <c r="AB185" s="243"/>
      <c r="AC185" s="105"/>
      <c r="AD185" s="105"/>
      <c r="AE185" s="105"/>
      <c r="AF185" s="105"/>
      <c r="AG185" s="105"/>
      <c r="AH185" s="105"/>
      <c r="AI185" s="105"/>
      <c r="AJ185" s="105"/>
      <c r="AK185" s="105"/>
      <c r="AL185" s="105"/>
      <c r="AM185" s="105"/>
      <c r="AN185" s="105"/>
      <c r="AO185" s="105"/>
      <c r="AP185" s="105"/>
      <c r="AQ185" s="105"/>
      <c r="AR185" s="105"/>
      <c r="AS185" s="105"/>
      <c r="AT185" s="105"/>
      <c r="AU185" s="105"/>
      <c r="AV185" s="105"/>
      <c r="AW185" s="105"/>
      <c r="AX185" s="105"/>
      <c r="AY185" s="105"/>
      <c r="AZ185" s="105"/>
      <c r="BA185" s="105"/>
      <c r="BB185" s="105"/>
      <c r="BC185" s="105"/>
      <c r="BD185" s="105"/>
      <c r="BE185" s="105"/>
      <c r="BF185" s="105"/>
      <c r="BG185" s="105"/>
      <c r="BH185" s="105"/>
      <c r="BI185" s="105"/>
      <c r="BJ185" s="105"/>
      <c r="BK185" s="105"/>
      <c r="BL185" s="105"/>
      <c r="BM185" s="105"/>
      <c r="BN185" s="105"/>
      <c r="BO185" s="105"/>
      <c r="BP185" s="105"/>
      <c r="BQ185" s="105"/>
      <c r="BR185" s="105"/>
      <c r="BS185" s="105"/>
      <c r="BT185" s="105"/>
      <c r="BU185" s="105"/>
      <c r="BV185" s="105"/>
      <c r="BW185" s="105"/>
      <c r="BX185" s="105"/>
      <c r="BY185" s="105"/>
      <c r="BZ185" s="105"/>
      <c r="CA185" s="105"/>
      <c r="CB185" s="105"/>
      <c r="CC185" s="105"/>
      <c r="CD185" s="105"/>
      <c r="CE185" s="105"/>
      <c r="CF185" s="105"/>
      <c r="CG185" s="105"/>
      <c r="CH185" s="105"/>
      <c r="CI185" s="105"/>
      <c r="CJ185" s="105"/>
      <c r="CK185" s="105"/>
      <c r="CL185" s="105"/>
      <c r="CM185" s="105"/>
      <c r="CN185" s="105"/>
      <c r="CO185" s="105"/>
      <c r="CP185" s="105"/>
      <c r="CQ185" s="105"/>
      <c r="CR185" s="105"/>
      <c r="CS185" s="105"/>
      <c r="CT185" s="105"/>
      <c r="CU185" s="105"/>
      <c r="CV185" s="105"/>
      <c r="CW185" s="105"/>
      <c r="CX185" s="105"/>
      <c r="CY185" s="105"/>
      <c r="CZ185" s="104"/>
      <c r="DA185" s="105"/>
      <c r="DB185" s="105"/>
      <c r="DC185" s="105"/>
      <c r="DD185" s="105"/>
      <c r="DE185" s="105"/>
      <c r="DF185" s="105"/>
      <c r="DG185" s="105"/>
      <c r="DH185" s="105"/>
      <c r="DI185" s="105"/>
      <c r="DJ185" s="105"/>
      <c r="DK185" s="104"/>
      <c r="DL185" s="104"/>
    </row>
    <row r="186" ht="12.0" customHeight="1">
      <c r="A186" s="104"/>
      <c r="B186" s="104"/>
      <c r="C186" s="243"/>
      <c r="D186" s="243"/>
      <c r="E186" s="243"/>
      <c r="F186" s="243"/>
      <c r="G186" s="243"/>
      <c r="H186" s="243"/>
      <c r="I186" s="243"/>
      <c r="J186" s="243"/>
      <c r="K186" s="243"/>
      <c r="L186" s="243"/>
      <c r="M186" s="243"/>
      <c r="N186" s="243"/>
      <c r="O186" s="243"/>
      <c r="P186" s="243"/>
      <c r="Q186" s="243"/>
      <c r="R186" s="243"/>
      <c r="S186" s="243"/>
      <c r="T186" s="243"/>
      <c r="U186" s="243"/>
      <c r="V186" s="243"/>
      <c r="W186" s="243"/>
      <c r="X186" s="243"/>
      <c r="Y186" s="243"/>
      <c r="Z186" s="243"/>
      <c r="AA186" s="243"/>
      <c r="AB186" s="243"/>
      <c r="AC186" s="105"/>
      <c r="AD186" s="105"/>
      <c r="AE186" s="105"/>
      <c r="AF186" s="105"/>
      <c r="AG186" s="105"/>
      <c r="AH186" s="105"/>
      <c r="AI186" s="105"/>
      <c r="AJ186" s="105"/>
      <c r="AK186" s="105"/>
      <c r="AL186" s="105"/>
      <c r="AM186" s="105"/>
      <c r="AN186" s="105"/>
      <c r="AO186" s="105"/>
      <c r="AP186" s="105"/>
      <c r="AQ186" s="105"/>
      <c r="AR186" s="105"/>
      <c r="AS186" s="105"/>
      <c r="AT186" s="105"/>
      <c r="AU186" s="105"/>
      <c r="AV186" s="105"/>
      <c r="AW186" s="105"/>
      <c r="AX186" s="105"/>
      <c r="AY186" s="105"/>
      <c r="AZ186" s="105"/>
      <c r="BA186" s="105"/>
      <c r="BB186" s="105"/>
      <c r="BC186" s="105"/>
      <c r="BD186" s="105"/>
      <c r="BE186" s="105"/>
      <c r="BF186" s="105"/>
      <c r="BG186" s="105"/>
      <c r="BH186" s="105"/>
      <c r="BI186" s="105"/>
      <c r="BJ186" s="105"/>
      <c r="BK186" s="105"/>
      <c r="BL186" s="105"/>
      <c r="BM186" s="105"/>
      <c r="BN186" s="105"/>
      <c r="BO186" s="105"/>
      <c r="BP186" s="105"/>
      <c r="BQ186" s="105"/>
      <c r="BR186" s="105"/>
      <c r="BS186" s="105"/>
      <c r="BT186" s="105"/>
      <c r="BU186" s="105"/>
      <c r="BV186" s="105"/>
      <c r="BW186" s="105"/>
      <c r="BX186" s="105"/>
      <c r="BY186" s="105"/>
      <c r="BZ186" s="105"/>
      <c r="CA186" s="105"/>
      <c r="CB186" s="105"/>
      <c r="CC186" s="105"/>
      <c r="CD186" s="105"/>
      <c r="CE186" s="105"/>
      <c r="CF186" s="105"/>
      <c r="CG186" s="105"/>
      <c r="CH186" s="105"/>
      <c r="CI186" s="105"/>
      <c r="CJ186" s="105"/>
      <c r="CK186" s="105"/>
      <c r="CL186" s="105"/>
      <c r="CM186" s="105"/>
      <c r="CN186" s="105"/>
      <c r="CO186" s="105"/>
      <c r="CP186" s="105"/>
      <c r="CQ186" s="105"/>
      <c r="CR186" s="105"/>
      <c r="CS186" s="105"/>
      <c r="CT186" s="105"/>
      <c r="CU186" s="105"/>
      <c r="CV186" s="105"/>
      <c r="CW186" s="105"/>
      <c r="CX186" s="105"/>
      <c r="CY186" s="105"/>
      <c r="CZ186" s="104"/>
      <c r="DA186" s="105"/>
      <c r="DB186" s="105"/>
      <c r="DC186" s="105"/>
      <c r="DD186" s="105"/>
      <c r="DE186" s="105"/>
      <c r="DF186" s="105"/>
      <c r="DG186" s="105"/>
      <c r="DH186" s="105"/>
      <c r="DI186" s="105"/>
      <c r="DJ186" s="105"/>
      <c r="DK186" s="104"/>
      <c r="DL186" s="104"/>
    </row>
    <row r="187" ht="12.0" customHeight="1">
      <c r="A187" s="104"/>
      <c r="B187" s="104"/>
      <c r="C187" s="243"/>
      <c r="D187" s="243"/>
      <c r="E187" s="243"/>
      <c r="F187" s="243"/>
      <c r="G187" s="243"/>
      <c r="H187" s="243"/>
      <c r="I187" s="243"/>
      <c r="J187" s="243"/>
      <c r="K187" s="243"/>
      <c r="L187" s="243"/>
      <c r="M187" s="243"/>
      <c r="N187" s="243"/>
      <c r="O187" s="243"/>
      <c r="P187" s="243"/>
      <c r="Q187" s="243"/>
      <c r="R187" s="243"/>
      <c r="S187" s="243"/>
      <c r="T187" s="243"/>
      <c r="U187" s="243"/>
      <c r="V187" s="243"/>
      <c r="W187" s="243"/>
      <c r="X187" s="243"/>
      <c r="Y187" s="243"/>
      <c r="Z187" s="243"/>
      <c r="AA187" s="243"/>
      <c r="AB187" s="243"/>
      <c r="AC187" s="105"/>
      <c r="AD187" s="105"/>
      <c r="AE187" s="105"/>
      <c r="AF187" s="105"/>
      <c r="AG187" s="105"/>
      <c r="AH187" s="105"/>
      <c r="AI187" s="105"/>
      <c r="AJ187" s="105"/>
      <c r="AK187" s="105"/>
      <c r="AL187" s="105"/>
      <c r="AM187" s="105"/>
      <c r="AN187" s="105"/>
      <c r="AO187" s="105"/>
      <c r="AP187" s="105"/>
      <c r="AQ187" s="105"/>
      <c r="AR187" s="105"/>
      <c r="AS187" s="105"/>
      <c r="AT187" s="105"/>
      <c r="AU187" s="105"/>
      <c r="AV187" s="105"/>
      <c r="AW187" s="105"/>
      <c r="AX187" s="105"/>
      <c r="AY187" s="105"/>
      <c r="AZ187" s="105"/>
      <c r="BA187" s="105"/>
      <c r="BB187" s="105"/>
      <c r="BC187" s="105"/>
      <c r="BD187" s="105"/>
      <c r="BE187" s="105"/>
      <c r="BF187" s="105"/>
      <c r="BG187" s="105"/>
      <c r="BH187" s="105"/>
      <c r="BI187" s="105"/>
      <c r="BJ187" s="105"/>
      <c r="BK187" s="105"/>
      <c r="BL187" s="105"/>
      <c r="BM187" s="105"/>
      <c r="BN187" s="105"/>
      <c r="BO187" s="105"/>
      <c r="BP187" s="105"/>
      <c r="BQ187" s="105"/>
      <c r="BR187" s="105"/>
      <c r="BS187" s="105"/>
      <c r="BT187" s="105"/>
      <c r="BU187" s="105"/>
      <c r="BV187" s="105"/>
      <c r="BW187" s="105"/>
      <c r="BX187" s="105"/>
      <c r="BY187" s="105"/>
      <c r="BZ187" s="105"/>
      <c r="CA187" s="105"/>
      <c r="CB187" s="105"/>
      <c r="CC187" s="105"/>
      <c r="CD187" s="105"/>
      <c r="CE187" s="105"/>
      <c r="CF187" s="105"/>
      <c r="CG187" s="105"/>
      <c r="CH187" s="105"/>
      <c r="CI187" s="105"/>
      <c r="CJ187" s="105"/>
      <c r="CK187" s="105"/>
      <c r="CL187" s="105"/>
      <c r="CM187" s="105"/>
      <c r="CN187" s="105"/>
      <c r="CO187" s="105"/>
      <c r="CP187" s="105"/>
      <c r="CQ187" s="105"/>
      <c r="CR187" s="105"/>
      <c r="CS187" s="105"/>
      <c r="CT187" s="105"/>
      <c r="CU187" s="105"/>
      <c r="CV187" s="105"/>
      <c r="CW187" s="105"/>
      <c r="CX187" s="105"/>
      <c r="CY187" s="105"/>
      <c r="CZ187" s="104"/>
      <c r="DA187" s="105"/>
      <c r="DB187" s="105"/>
      <c r="DC187" s="105"/>
      <c r="DD187" s="105"/>
      <c r="DE187" s="105"/>
      <c r="DF187" s="105"/>
      <c r="DG187" s="105"/>
      <c r="DH187" s="105"/>
      <c r="DI187" s="105"/>
      <c r="DJ187" s="105"/>
      <c r="DK187" s="104"/>
      <c r="DL187" s="104"/>
    </row>
    <row r="188" ht="12.0" customHeight="1">
      <c r="A188" s="104"/>
      <c r="B188" s="104"/>
      <c r="C188" s="243"/>
      <c r="D188" s="243"/>
      <c r="E188" s="243"/>
      <c r="F188" s="243"/>
      <c r="G188" s="243"/>
      <c r="H188" s="243"/>
      <c r="I188" s="243"/>
      <c r="J188" s="243"/>
      <c r="K188" s="243"/>
      <c r="L188" s="243"/>
      <c r="M188" s="243"/>
      <c r="N188" s="243"/>
      <c r="O188" s="243"/>
      <c r="P188" s="243"/>
      <c r="Q188" s="243"/>
      <c r="R188" s="243"/>
      <c r="S188" s="243"/>
      <c r="T188" s="243"/>
      <c r="U188" s="243"/>
      <c r="V188" s="243"/>
      <c r="W188" s="243"/>
      <c r="X188" s="243"/>
      <c r="Y188" s="243"/>
      <c r="Z188" s="243"/>
      <c r="AA188" s="243"/>
      <c r="AB188" s="243"/>
      <c r="AC188" s="105"/>
      <c r="AD188" s="105"/>
      <c r="AE188" s="105"/>
      <c r="AF188" s="105"/>
      <c r="AG188" s="105"/>
      <c r="AH188" s="105"/>
      <c r="AI188" s="105"/>
      <c r="AJ188" s="105"/>
      <c r="AK188" s="105"/>
      <c r="AL188" s="105"/>
      <c r="AM188" s="105"/>
      <c r="AN188" s="105"/>
      <c r="AO188" s="105"/>
      <c r="AP188" s="105"/>
      <c r="AQ188" s="105"/>
      <c r="AR188" s="105"/>
      <c r="AS188" s="105"/>
      <c r="AT188" s="105"/>
      <c r="AU188" s="105"/>
      <c r="AV188" s="105"/>
      <c r="AW188" s="105"/>
      <c r="AX188" s="105"/>
      <c r="AY188" s="105"/>
      <c r="AZ188" s="105"/>
      <c r="BA188" s="105"/>
      <c r="BB188" s="105"/>
      <c r="BC188" s="105"/>
      <c r="BD188" s="105"/>
      <c r="BE188" s="105"/>
      <c r="BF188" s="105"/>
      <c r="BG188" s="105"/>
      <c r="BH188" s="105"/>
      <c r="BI188" s="105"/>
      <c r="BJ188" s="105"/>
      <c r="BK188" s="105"/>
      <c r="BL188" s="105"/>
      <c r="BM188" s="105"/>
      <c r="BN188" s="105"/>
      <c r="BO188" s="105"/>
      <c r="BP188" s="105"/>
      <c r="BQ188" s="105"/>
      <c r="BR188" s="105"/>
      <c r="BS188" s="105"/>
      <c r="BT188" s="105"/>
      <c r="BU188" s="105"/>
      <c r="BV188" s="105"/>
      <c r="BW188" s="105"/>
      <c r="BX188" s="105"/>
      <c r="BY188" s="105"/>
      <c r="BZ188" s="105"/>
      <c r="CA188" s="105"/>
      <c r="CB188" s="105"/>
      <c r="CC188" s="105"/>
      <c r="CD188" s="105"/>
      <c r="CE188" s="105"/>
      <c r="CF188" s="105"/>
      <c r="CG188" s="105"/>
      <c r="CH188" s="105"/>
      <c r="CI188" s="105"/>
      <c r="CJ188" s="105"/>
      <c r="CK188" s="105"/>
      <c r="CL188" s="105"/>
      <c r="CM188" s="105"/>
      <c r="CN188" s="105"/>
      <c r="CO188" s="105"/>
      <c r="CP188" s="105"/>
      <c r="CQ188" s="105"/>
      <c r="CR188" s="105"/>
      <c r="CS188" s="105"/>
      <c r="CT188" s="105"/>
      <c r="CU188" s="105"/>
      <c r="CV188" s="105"/>
      <c r="CW188" s="105"/>
      <c r="CX188" s="105"/>
      <c r="CY188" s="105"/>
      <c r="CZ188" s="104"/>
      <c r="DA188" s="105"/>
      <c r="DB188" s="105"/>
      <c r="DC188" s="105"/>
      <c r="DD188" s="105"/>
      <c r="DE188" s="105"/>
      <c r="DF188" s="105"/>
      <c r="DG188" s="105"/>
      <c r="DH188" s="105"/>
      <c r="DI188" s="105"/>
      <c r="DJ188" s="105"/>
      <c r="DK188" s="104"/>
      <c r="DL188" s="104"/>
    </row>
    <row r="189" ht="12.0" customHeight="1">
      <c r="A189" s="104"/>
      <c r="B189" s="104"/>
      <c r="C189" s="243"/>
      <c r="D189" s="243"/>
      <c r="E189" s="243"/>
      <c r="F189" s="243"/>
      <c r="G189" s="243"/>
      <c r="H189" s="243"/>
      <c r="I189" s="243"/>
      <c r="J189" s="243"/>
      <c r="K189" s="243"/>
      <c r="L189" s="243"/>
      <c r="M189" s="243"/>
      <c r="N189" s="243"/>
      <c r="O189" s="243"/>
      <c r="P189" s="243"/>
      <c r="Q189" s="243"/>
      <c r="R189" s="243"/>
      <c r="S189" s="243"/>
      <c r="T189" s="243"/>
      <c r="U189" s="243"/>
      <c r="V189" s="243"/>
      <c r="W189" s="243"/>
      <c r="X189" s="243"/>
      <c r="Y189" s="243"/>
      <c r="Z189" s="243"/>
      <c r="AA189" s="243"/>
      <c r="AB189" s="243"/>
      <c r="AC189" s="105"/>
      <c r="AD189" s="105"/>
      <c r="AE189" s="105"/>
      <c r="AF189" s="105"/>
      <c r="AG189" s="105"/>
      <c r="AH189" s="105"/>
      <c r="AI189" s="105"/>
      <c r="AJ189" s="105"/>
      <c r="AK189" s="105"/>
      <c r="AL189" s="105"/>
      <c r="AM189" s="105"/>
      <c r="AN189" s="105"/>
      <c r="AO189" s="105"/>
      <c r="AP189" s="105"/>
      <c r="AQ189" s="105"/>
      <c r="AR189" s="105"/>
      <c r="AS189" s="105"/>
      <c r="AT189" s="105"/>
      <c r="AU189" s="105"/>
      <c r="AV189" s="105"/>
      <c r="AW189" s="105"/>
      <c r="AX189" s="105"/>
      <c r="AY189" s="105"/>
      <c r="AZ189" s="105"/>
      <c r="BA189" s="105"/>
      <c r="BB189" s="105"/>
      <c r="BC189" s="105"/>
      <c r="BD189" s="105"/>
      <c r="BE189" s="105"/>
      <c r="BF189" s="105"/>
      <c r="BG189" s="105"/>
      <c r="BH189" s="105"/>
      <c r="BI189" s="105"/>
      <c r="BJ189" s="105"/>
      <c r="BK189" s="105"/>
      <c r="BL189" s="105"/>
      <c r="BM189" s="105"/>
      <c r="BN189" s="105"/>
      <c r="BO189" s="105"/>
      <c r="BP189" s="105"/>
      <c r="BQ189" s="105"/>
      <c r="BR189" s="105"/>
      <c r="BS189" s="105"/>
      <c r="BT189" s="105"/>
      <c r="BU189" s="105"/>
      <c r="BV189" s="105"/>
      <c r="BW189" s="105"/>
      <c r="BX189" s="105"/>
      <c r="BY189" s="105"/>
      <c r="BZ189" s="105"/>
      <c r="CA189" s="105"/>
      <c r="CB189" s="105"/>
      <c r="CC189" s="105"/>
      <c r="CD189" s="105"/>
      <c r="CE189" s="105"/>
      <c r="CF189" s="105"/>
      <c r="CG189" s="105"/>
      <c r="CH189" s="105"/>
      <c r="CI189" s="105"/>
      <c r="CJ189" s="105"/>
      <c r="CK189" s="105"/>
      <c r="CL189" s="105"/>
      <c r="CM189" s="105"/>
      <c r="CN189" s="105"/>
      <c r="CO189" s="105"/>
      <c r="CP189" s="105"/>
      <c r="CQ189" s="105"/>
      <c r="CR189" s="105"/>
      <c r="CS189" s="105"/>
      <c r="CT189" s="105"/>
      <c r="CU189" s="105"/>
      <c r="CV189" s="105"/>
      <c r="CW189" s="105"/>
      <c r="CX189" s="105"/>
      <c r="CY189" s="105"/>
      <c r="CZ189" s="104"/>
      <c r="DA189" s="105"/>
      <c r="DB189" s="105"/>
      <c r="DC189" s="105"/>
      <c r="DD189" s="105"/>
      <c r="DE189" s="105"/>
      <c r="DF189" s="105"/>
      <c r="DG189" s="105"/>
      <c r="DH189" s="105"/>
      <c r="DI189" s="105"/>
      <c r="DJ189" s="105"/>
      <c r="DK189" s="104"/>
      <c r="DL189" s="104"/>
    </row>
    <row r="190" ht="12.0" customHeight="1">
      <c r="A190" s="104"/>
      <c r="B190" s="104"/>
      <c r="C190" s="243"/>
      <c r="D190" s="243"/>
      <c r="E190" s="243"/>
      <c r="F190" s="243"/>
      <c r="G190" s="243"/>
      <c r="H190" s="243"/>
      <c r="I190" s="243"/>
      <c r="J190" s="243"/>
      <c r="K190" s="243"/>
      <c r="L190" s="243"/>
      <c r="M190" s="243"/>
      <c r="N190" s="243"/>
      <c r="O190" s="243"/>
      <c r="P190" s="243"/>
      <c r="Q190" s="243"/>
      <c r="R190" s="243"/>
      <c r="S190" s="243"/>
      <c r="T190" s="243"/>
      <c r="U190" s="243"/>
      <c r="V190" s="243"/>
      <c r="W190" s="243"/>
      <c r="X190" s="243"/>
      <c r="Y190" s="243"/>
      <c r="Z190" s="243"/>
      <c r="AA190" s="243"/>
      <c r="AB190" s="243"/>
      <c r="AC190" s="105"/>
      <c r="AD190" s="105"/>
      <c r="AE190" s="105"/>
      <c r="AF190" s="105"/>
      <c r="AG190" s="105"/>
      <c r="AH190" s="105"/>
      <c r="AI190" s="105"/>
      <c r="AJ190" s="105"/>
      <c r="AK190" s="105"/>
      <c r="AL190" s="105"/>
      <c r="AM190" s="105"/>
      <c r="AN190" s="105"/>
      <c r="AO190" s="105"/>
      <c r="AP190" s="105"/>
      <c r="AQ190" s="105"/>
      <c r="AR190" s="105"/>
      <c r="AS190" s="105"/>
      <c r="AT190" s="105"/>
      <c r="AU190" s="105"/>
      <c r="AV190" s="105"/>
      <c r="AW190" s="105"/>
      <c r="AX190" s="105"/>
      <c r="AY190" s="105"/>
      <c r="AZ190" s="105"/>
      <c r="BA190" s="105"/>
      <c r="BB190" s="105"/>
      <c r="BC190" s="105"/>
      <c r="BD190" s="105"/>
      <c r="BE190" s="105"/>
      <c r="BF190" s="105"/>
      <c r="BG190" s="105"/>
      <c r="BH190" s="105"/>
      <c r="BI190" s="105"/>
      <c r="BJ190" s="105"/>
      <c r="BK190" s="105"/>
      <c r="BL190" s="105"/>
      <c r="BM190" s="105"/>
      <c r="BN190" s="105"/>
      <c r="BO190" s="105"/>
      <c r="BP190" s="105"/>
      <c r="BQ190" s="105"/>
      <c r="BR190" s="105"/>
      <c r="BS190" s="105"/>
      <c r="BT190" s="105"/>
      <c r="BU190" s="105"/>
      <c r="BV190" s="105"/>
      <c r="BW190" s="105"/>
      <c r="BX190" s="105"/>
      <c r="BY190" s="105"/>
      <c r="BZ190" s="105"/>
      <c r="CA190" s="105"/>
      <c r="CB190" s="105"/>
      <c r="CC190" s="105"/>
      <c r="CD190" s="105"/>
      <c r="CE190" s="105"/>
      <c r="CF190" s="105"/>
      <c r="CG190" s="105"/>
      <c r="CH190" s="105"/>
      <c r="CI190" s="105"/>
      <c r="CJ190" s="105"/>
      <c r="CK190" s="105"/>
      <c r="CL190" s="105"/>
      <c r="CM190" s="105"/>
      <c r="CN190" s="105"/>
      <c r="CO190" s="105"/>
      <c r="CP190" s="105"/>
      <c r="CQ190" s="105"/>
      <c r="CR190" s="105"/>
      <c r="CS190" s="105"/>
      <c r="CT190" s="105"/>
      <c r="CU190" s="105"/>
      <c r="CV190" s="105"/>
      <c r="CW190" s="105"/>
      <c r="CX190" s="105"/>
      <c r="CY190" s="105"/>
      <c r="CZ190" s="104"/>
      <c r="DA190" s="105"/>
      <c r="DB190" s="105"/>
      <c r="DC190" s="105"/>
      <c r="DD190" s="105"/>
      <c r="DE190" s="105"/>
      <c r="DF190" s="105"/>
      <c r="DG190" s="105"/>
      <c r="DH190" s="105"/>
      <c r="DI190" s="105"/>
      <c r="DJ190" s="105"/>
      <c r="DK190" s="104"/>
      <c r="DL190" s="104"/>
    </row>
    <row r="191" ht="12.0" customHeight="1">
      <c r="A191" s="104"/>
      <c r="B191" s="104"/>
      <c r="C191" s="243"/>
      <c r="D191" s="243"/>
      <c r="E191" s="243"/>
      <c r="F191" s="243"/>
      <c r="G191" s="243"/>
      <c r="H191" s="243"/>
      <c r="I191" s="243"/>
      <c r="J191" s="243"/>
      <c r="K191" s="243"/>
      <c r="L191" s="243"/>
      <c r="M191" s="243"/>
      <c r="N191" s="243"/>
      <c r="O191" s="243"/>
      <c r="P191" s="243"/>
      <c r="Q191" s="243"/>
      <c r="R191" s="243"/>
      <c r="S191" s="243"/>
      <c r="T191" s="243"/>
      <c r="U191" s="243"/>
      <c r="V191" s="243"/>
      <c r="W191" s="243"/>
      <c r="X191" s="243"/>
      <c r="Y191" s="243"/>
      <c r="Z191" s="243"/>
      <c r="AA191" s="243"/>
      <c r="AB191" s="243"/>
      <c r="AC191" s="105"/>
      <c r="AD191" s="105"/>
      <c r="AE191" s="105"/>
      <c r="AF191" s="105"/>
      <c r="AG191" s="105"/>
      <c r="AH191" s="105"/>
      <c r="AI191" s="105"/>
      <c r="AJ191" s="105"/>
      <c r="AK191" s="105"/>
      <c r="AL191" s="105"/>
      <c r="AM191" s="105"/>
      <c r="AN191" s="105"/>
      <c r="AO191" s="105"/>
      <c r="AP191" s="105"/>
      <c r="AQ191" s="105"/>
      <c r="AR191" s="105"/>
      <c r="AS191" s="105"/>
      <c r="AT191" s="105"/>
      <c r="AU191" s="105"/>
      <c r="AV191" s="105"/>
      <c r="AW191" s="105"/>
      <c r="AX191" s="105"/>
      <c r="AY191" s="105"/>
      <c r="AZ191" s="105"/>
      <c r="BA191" s="105"/>
      <c r="BB191" s="105"/>
      <c r="BC191" s="105"/>
      <c r="BD191" s="105"/>
      <c r="BE191" s="105"/>
      <c r="BF191" s="105"/>
      <c r="BG191" s="105"/>
      <c r="BH191" s="105"/>
      <c r="BI191" s="105"/>
      <c r="BJ191" s="105"/>
      <c r="BK191" s="105"/>
      <c r="BL191" s="105"/>
      <c r="BM191" s="105"/>
      <c r="BN191" s="105"/>
      <c r="BO191" s="105"/>
      <c r="BP191" s="105"/>
      <c r="BQ191" s="105"/>
      <c r="BR191" s="105"/>
      <c r="BS191" s="105"/>
      <c r="BT191" s="105"/>
      <c r="BU191" s="105"/>
      <c r="BV191" s="105"/>
      <c r="BW191" s="105"/>
      <c r="BX191" s="105"/>
      <c r="BY191" s="105"/>
      <c r="BZ191" s="105"/>
      <c r="CA191" s="105"/>
      <c r="CB191" s="105"/>
      <c r="CC191" s="105"/>
      <c r="CD191" s="105"/>
      <c r="CE191" s="105"/>
      <c r="CF191" s="105"/>
      <c r="CG191" s="105"/>
      <c r="CH191" s="105"/>
      <c r="CI191" s="105"/>
      <c r="CJ191" s="105"/>
      <c r="CK191" s="105"/>
      <c r="CL191" s="105"/>
      <c r="CM191" s="105"/>
      <c r="CN191" s="105"/>
      <c r="CO191" s="105"/>
      <c r="CP191" s="105"/>
      <c r="CQ191" s="105"/>
      <c r="CR191" s="105"/>
      <c r="CS191" s="105"/>
      <c r="CT191" s="105"/>
      <c r="CU191" s="105"/>
      <c r="CV191" s="105"/>
      <c r="CW191" s="105"/>
      <c r="CX191" s="105"/>
      <c r="CY191" s="105"/>
      <c r="CZ191" s="104"/>
      <c r="DA191" s="105"/>
      <c r="DB191" s="105"/>
      <c r="DC191" s="105"/>
      <c r="DD191" s="105"/>
      <c r="DE191" s="105"/>
      <c r="DF191" s="105"/>
      <c r="DG191" s="105"/>
      <c r="DH191" s="105"/>
      <c r="DI191" s="105"/>
      <c r="DJ191" s="105"/>
      <c r="DK191" s="104"/>
      <c r="DL191" s="104"/>
    </row>
    <row r="192" ht="12.0" customHeight="1">
      <c r="A192" s="104"/>
      <c r="B192" s="104"/>
      <c r="C192" s="243"/>
      <c r="D192" s="243"/>
      <c r="E192" s="243"/>
      <c r="F192" s="243"/>
      <c r="G192" s="243"/>
      <c r="H192" s="243"/>
      <c r="I192" s="243"/>
      <c r="J192" s="243"/>
      <c r="K192" s="243"/>
      <c r="L192" s="243"/>
      <c r="M192" s="243"/>
      <c r="N192" s="243"/>
      <c r="O192" s="243"/>
      <c r="P192" s="243"/>
      <c r="Q192" s="243"/>
      <c r="R192" s="243"/>
      <c r="S192" s="243"/>
      <c r="T192" s="243"/>
      <c r="U192" s="243"/>
      <c r="V192" s="243"/>
      <c r="W192" s="243"/>
      <c r="X192" s="243"/>
      <c r="Y192" s="243"/>
      <c r="Z192" s="243"/>
      <c r="AA192" s="243"/>
      <c r="AB192" s="243"/>
      <c r="AC192" s="105"/>
      <c r="AD192" s="105"/>
      <c r="AE192" s="105"/>
      <c r="AF192" s="105"/>
      <c r="AG192" s="105"/>
      <c r="AH192" s="105"/>
      <c r="AI192" s="105"/>
      <c r="AJ192" s="105"/>
      <c r="AK192" s="105"/>
      <c r="AL192" s="105"/>
      <c r="AM192" s="105"/>
      <c r="AN192" s="105"/>
      <c r="AO192" s="105"/>
      <c r="AP192" s="105"/>
      <c r="AQ192" s="105"/>
      <c r="AR192" s="105"/>
      <c r="AS192" s="105"/>
      <c r="AT192" s="105"/>
      <c r="AU192" s="105"/>
      <c r="AV192" s="105"/>
      <c r="AW192" s="105"/>
      <c r="AX192" s="105"/>
      <c r="AY192" s="105"/>
      <c r="AZ192" s="105"/>
      <c r="BA192" s="105"/>
      <c r="BB192" s="105"/>
      <c r="BC192" s="105"/>
      <c r="BD192" s="105"/>
      <c r="BE192" s="105"/>
      <c r="BF192" s="105"/>
      <c r="BG192" s="105"/>
      <c r="BH192" s="105"/>
      <c r="BI192" s="105"/>
      <c r="BJ192" s="105"/>
      <c r="BK192" s="105"/>
      <c r="BL192" s="105"/>
      <c r="BM192" s="105"/>
      <c r="BN192" s="105"/>
      <c r="BO192" s="105"/>
      <c r="BP192" s="105"/>
      <c r="BQ192" s="105"/>
      <c r="BR192" s="105"/>
      <c r="BS192" s="105"/>
      <c r="BT192" s="105"/>
      <c r="BU192" s="105"/>
      <c r="BV192" s="105"/>
      <c r="BW192" s="105"/>
      <c r="BX192" s="105"/>
      <c r="BY192" s="105"/>
      <c r="BZ192" s="105"/>
      <c r="CA192" s="105"/>
      <c r="CB192" s="105"/>
      <c r="CC192" s="105"/>
      <c r="CD192" s="105"/>
      <c r="CE192" s="105"/>
      <c r="CF192" s="105"/>
      <c r="CG192" s="105"/>
      <c r="CH192" s="105"/>
      <c r="CI192" s="105"/>
      <c r="CJ192" s="105"/>
      <c r="CK192" s="105"/>
      <c r="CL192" s="105"/>
      <c r="CM192" s="105"/>
      <c r="CN192" s="105"/>
      <c r="CO192" s="105"/>
      <c r="CP192" s="105"/>
      <c r="CQ192" s="105"/>
      <c r="CR192" s="105"/>
      <c r="CS192" s="105"/>
      <c r="CT192" s="105"/>
      <c r="CU192" s="105"/>
      <c r="CV192" s="105"/>
      <c r="CW192" s="105"/>
      <c r="CX192" s="105"/>
      <c r="CY192" s="105"/>
      <c r="CZ192" s="104"/>
      <c r="DA192" s="105"/>
      <c r="DB192" s="105"/>
      <c r="DC192" s="105"/>
      <c r="DD192" s="105"/>
      <c r="DE192" s="105"/>
      <c r="DF192" s="105"/>
      <c r="DG192" s="105"/>
      <c r="DH192" s="105"/>
      <c r="DI192" s="105"/>
      <c r="DJ192" s="105"/>
      <c r="DK192" s="104"/>
      <c r="DL192" s="104"/>
    </row>
    <row r="193" ht="12.0" customHeight="1">
      <c r="A193" s="104"/>
      <c r="B193" s="104"/>
      <c r="C193" s="243"/>
      <c r="D193" s="243"/>
      <c r="E193" s="243"/>
      <c r="F193" s="243"/>
      <c r="G193" s="243"/>
      <c r="H193" s="243"/>
      <c r="I193" s="243"/>
      <c r="J193" s="243"/>
      <c r="K193" s="243"/>
      <c r="L193" s="243"/>
      <c r="M193" s="243"/>
      <c r="N193" s="243"/>
      <c r="O193" s="243"/>
      <c r="P193" s="243"/>
      <c r="Q193" s="243"/>
      <c r="R193" s="243"/>
      <c r="S193" s="243"/>
      <c r="T193" s="243"/>
      <c r="U193" s="243"/>
      <c r="V193" s="243"/>
      <c r="W193" s="243"/>
      <c r="X193" s="243"/>
      <c r="Y193" s="243"/>
      <c r="Z193" s="243"/>
      <c r="AA193" s="243"/>
      <c r="AB193" s="243"/>
      <c r="AC193" s="105"/>
      <c r="AD193" s="105"/>
      <c r="AE193" s="105"/>
      <c r="AF193" s="105"/>
      <c r="AG193" s="105"/>
      <c r="AH193" s="105"/>
      <c r="AI193" s="105"/>
      <c r="AJ193" s="105"/>
      <c r="AK193" s="105"/>
      <c r="AL193" s="105"/>
      <c r="AM193" s="105"/>
      <c r="AN193" s="105"/>
      <c r="AO193" s="105"/>
      <c r="AP193" s="105"/>
      <c r="AQ193" s="105"/>
      <c r="AR193" s="105"/>
      <c r="AS193" s="105"/>
      <c r="AT193" s="105"/>
      <c r="AU193" s="105"/>
      <c r="AV193" s="105"/>
      <c r="AW193" s="105"/>
      <c r="AX193" s="105"/>
      <c r="AY193" s="105"/>
      <c r="AZ193" s="105"/>
      <c r="BA193" s="105"/>
      <c r="BB193" s="105"/>
      <c r="BC193" s="105"/>
      <c r="BD193" s="105"/>
      <c r="BE193" s="105"/>
      <c r="BF193" s="105"/>
      <c r="BG193" s="105"/>
      <c r="BH193" s="105"/>
      <c r="BI193" s="105"/>
      <c r="BJ193" s="105"/>
      <c r="BK193" s="105"/>
      <c r="BL193" s="105"/>
      <c r="BM193" s="105"/>
      <c r="BN193" s="105"/>
      <c r="BO193" s="105"/>
      <c r="BP193" s="105"/>
      <c r="BQ193" s="105"/>
      <c r="BR193" s="105"/>
      <c r="BS193" s="105"/>
      <c r="BT193" s="105"/>
      <c r="BU193" s="105"/>
      <c r="BV193" s="105"/>
      <c r="BW193" s="105"/>
      <c r="BX193" s="105"/>
      <c r="BY193" s="105"/>
      <c r="BZ193" s="105"/>
      <c r="CA193" s="105"/>
      <c r="CB193" s="105"/>
      <c r="CC193" s="105"/>
      <c r="CD193" s="105"/>
      <c r="CE193" s="105"/>
      <c r="CF193" s="105"/>
      <c r="CG193" s="105"/>
      <c r="CH193" s="105"/>
      <c r="CI193" s="105"/>
      <c r="CJ193" s="105"/>
      <c r="CK193" s="105"/>
      <c r="CL193" s="105"/>
      <c r="CM193" s="105"/>
      <c r="CN193" s="105"/>
      <c r="CO193" s="105"/>
      <c r="CP193" s="105"/>
      <c r="CQ193" s="105"/>
      <c r="CR193" s="105"/>
      <c r="CS193" s="105"/>
      <c r="CT193" s="105"/>
      <c r="CU193" s="105"/>
      <c r="CV193" s="105"/>
      <c r="CW193" s="105"/>
      <c r="CX193" s="105"/>
      <c r="CY193" s="105"/>
      <c r="CZ193" s="104"/>
      <c r="DA193" s="105"/>
      <c r="DB193" s="105"/>
      <c r="DC193" s="105"/>
      <c r="DD193" s="105"/>
      <c r="DE193" s="105"/>
      <c r="DF193" s="105"/>
      <c r="DG193" s="105"/>
      <c r="DH193" s="105"/>
      <c r="DI193" s="105"/>
      <c r="DJ193" s="105"/>
      <c r="DK193" s="104"/>
      <c r="DL193" s="104"/>
    </row>
    <row r="194" ht="12.0" customHeight="1">
      <c r="A194" s="104"/>
      <c r="B194" s="104"/>
      <c r="C194" s="243"/>
      <c r="D194" s="243"/>
      <c r="E194" s="243"/>
      <c r="F194" s="243"/>
      <c r="G194" s="243"/>
      <c r="H194" s="243"/>
      <c r="I194" s="243"/>
      <c r="J194" s="243"/>
      <c r="K194" s="243"/>
      <c r="L194" s="243"/>
      <c r="M194" s="243"/>
      <c r="N194" s="243"/>
      <c r="O194" s="243"/>
      <c r="P194" s="243"/>
      <c r="Q194" s="243"/>
      <c r="R194" s="243"/>
      <c r="S194" s="243"/>
      <c r="T194" s="243"/>
      <c r="U194" s="243"/>
      <c r="V194" s="243"/>
      <c r="W194" s="243"/>
      <c r="X194" s="243"/>
      <c r="Y194" s="243"/>
      <c r="Z194" s="243"/>
      <c r="AA194" s="243"/>
      <c r="AB194" s="243"/>
      <c r="AC194" s="105"/>
      <c r="AD194" s="105"/>
      <c r="AE194" s="105"/>
      <c r="AF194" s="105"/>
      <c r="AG194" s="105"/>
      <c r="AH194" s="105"/>
      <c r="AI194" s="105"/>
      <c r="AJ194" s="105"/>
      <c r="AK194" s="105"/>
      <c r="AL194" s="105"/>
      <c r="AM194" s="105"/>
      <c r="AN194" s="105"/>
      <c r="AO194" s="105"/>
      <c r="AP194" s="105"/>
      <c r="AQ194" s="105"/>
      <c r="AR194" s="105"/>
      <c r="AS194" s="105"/>
      <c r="AT194" s="105"/>
      <c r="AU194" s="105"/>
      <c r="AV194" s="105"/>
      <c r="AW194" s="105"/>
      <c r="AX194" s="105"/>
      <c r="AY194" s="105"/>
      <c r="AZ194" s="105"/>
      <c r="BA194" s="105"/>
      <c r="BB194" s="105"/>
      <c r="BC194" s="105"/>
      <c r="BD194" s="105"/>
      <c r="BE194" s="105"/>
      <c r="BF194" s="105"/>
      <c r="BG194" s="105"/>
      <c r="BH194" s="105"/>
      <c r="BI194" s="105"/>
      <c r="BJ194" s="105"/>
      <c r="BK194" s="105"/>
      <c r="BL194" s="105"/>
      <c r="BM194" s="105"/>
      <c r="BN194" s="105"/>
      <c r="BO194" s="105"/>
      <c r="BP194" s="105"/>
      <c r="BQ194" s="105"/>
      <c r="BR194" s="105"/>
      <c r="BS194" s="105"/>
      <c r="BT194" s="105"/>
      <c r="BU194" s="105"/>
      <c r="BV194" s="105"/>
      <c r="BW194" s="105"/>
      <c r="BX194" s="105"/>
      <c r="BY194" s="105"/>
      <c r="BZ194" s="105"/>
      <c r="CA194" s="105"/>
      <c r="CB194" s="105"/>
      <c r="CC194" s="105"/>
      <c r="CD194" s="105"/>
      <c r="CE194" s="105"/>
      <c r="CF194" s="105"/>
      <c r="CG194" s="105"/>
      <c r="CH194" s="105"/>
      <c r="CI194" s="105"/>
      <c r="CJ194" s="105"/>
      <c r="CK194" s="105"/>
      <c r="CL194" s="105"/>
      <c r="CM194" s="105"/>
      <c r="CN194" s="105"/>
      <c r="CO194" s="105"/>
      <c r="CP194" s="105"/>
      <c r="CQ194" s="105"/>
      <c r="CR194" s="105"/>
      <c r="CS194" s="105"/>
      <c r="CT194" s="105"/>
      <c r="CU194" s="105"/>
      <c r="CV194" s="105"/>
      <c r="CW194" s="105"/>
      <c r="CX194" s="105"/>
      <c r="CY194" s="105"/>
      <c r="CZ194" s="104"/>
      <c r="DA194" s="105"/>
      <c r="DB194" s="105"/>
      <c r="DC194" s="105"/>
      <c r="DD194" s="105"/>
      <c r="DE194" s="105"/>
      <c r="DF194" s="105"/>
      <c r="DG194" s="105"/>
      <c r="DH194" s="105"/>
      <c r="DI194" s="105"/>
      <c r="DJ194" s="105"/>
      <c r="DK194" s="104"/>
      <c r="DL194" s="104"/>
    </row>
    <row r="195" ht="12.0" customHeight="1">
      <c r="A195" s="104"/>
      <c r="B195" s="104"/>
      <c r="C195" s="243"/>
      <c r="D195" s="243"/>
      <c r="E195" s="243"/>
      <c r="F195" s="243"/>
      <c r="G195" s="243"/>
      <c r="H195" s="243"/>
      <c r="I195" s="243"/>
      <c r="J195" s="243"/>
      <c r="K195" s="243"/>
      <c r="L195" s="243"/>
      <c r="M195" s="243"/>
      <c r="N195" s="243"/>
      <c r="O195" s="243"/>
      <c r="P195" s="243"/>
      <c r="Q195" s="243"/>
      <c r="R195" s="243"/>
      <c r="S195" s="243"/>
      <c r="T195" s="243"/>
      <c r="U195" s="243"/>
      <c r="V195" s="243"/>
      <c r="W195" s="243"/>
      <c r="X195" s="243"/>
      <c r="Y195" s="243"/>
      <c r="Z195" s="243"/>
      <c r="AA195" s="243"/>
      <c r="AB195" s="243"/>
      <c r="AC195" s="105"/>
      <c r="AD195" s="105"/>
      <c r="AE195" s="105"/>
      <c r="AF195" s="105"/>
      <c r="AG195" s="105"/>
      <c r="AH195" s="105"/>
      <c r="AI195" s="105"/>
      <c r="AJ195" s="105"/>
      <c r="AK195" s="105"/>
      <c r="AL195" s="105"/>
      <c r="AM195" s="105"/>
      <c r="AN195" s="105"/>
      <c r="AO195" s="105"/>
      <c r="AP195" s="105"/>
      <c r="AQ195" s="105"/>
      <c r="AR195" s="105"/>
      <c r="AS195" s="105"/>
      <c r="AT195" s="105"/>
      <c r="AU195" s="105"/>
      <c r="AV195" s="105"/>
      <c r="AW195" s="105"/>
      <c r="AX195" s="105"/>
      <c r="AY195" s="105"/>
      <c r="AZ195" s="105"/>
      <c r="BA195" s="105"/>
      <c r="BB195" s="105"/>
      <c r="BC195" s="105"/>
      <c r="BD195" s="105"/>
      <c r="BE195" s="105"/>
      <c r="BF195" s="105"/>
      <c r="BG195" s="105"/>
      <c r="BH195" s="105"/>
      <c r="BI195" s="105"/>
      <c r="BJ195" s="105"/>
      <c r="BK195" s="105"/>
      <c r="BL195" s="105"/>
      <c r="BM195" s="105"/>
      <c r="BN195" s="105"/>
      <c r="BO195" s="105"/>
      <c r="BP195" s="105"/>
      <c r="BQ195" s="105"/>
      <c r="BR195" s="105"/>
      <c r="BS195" s="105"/>
      <c r="BT195" s="105"/>
      <c r="BU195" s="105"/>
      <c r="BV195" s="105"/>
      <c r="BW195" s="105"/>
      <c r="BX195" s="105"/>
      <c r="BY195" s="105"/>
      <c r="BZ195" s="105"/>
      <c r="CA195" s="105"/>
      <c r="CB195" s="105"/>
      <c r="CC195" s="105"/>
      <c r="CD195" s="105"/>
      <c r="CE195" s="105"/>
      <c r="CF195" s="105"/>
      <c r="CG195" s="105"/>
      <c r="CH195" s="105"/>
      <c r="CI195" s="105"/>
      <c r="CJ195" s="105"/>
      <c r="CK195" s="105"/>
      <c r="CL195" s="105"/>
      <c r="CM195" s="105"/>
      <c r="CN195" s="105"/>
      <c r="CO195" s="105"/>
      <c r="CP195" s="105"/>
      <c r="CQ195" s="105"/>
      <c r="CR195" s="105"/>
      <c r="CS195" s="105"/>
      <c r="CT195" s="105"/>
      <c r="CU195" s="105"/>
      <c r="CV195" s="105"/>
      <c r="CW195" s="105"/>
      <c r="CX195" s="105"/>
      <c r="CY195" s="105"/>
      <c r="CZ195" s="104"/>
      <c r="DA195" s="105"/>
      <c r="DB195" s="105"/>
      <c r="DC195" s="105"/>
      <c r="DD195" s="105"/>
      <c r="DE195" s="105"/>
      <c r="DF195" s="105"/>
      <c r="DG195" s="105"/>
      <c r="DH195" s="105"/>
      <c r="DI195" s="105"/>
      <c r="DJ195" s="105"/>
      <c r="DK195" s="104"/>
      <c r="DL195" s="104"/>
    </row>
    <row r="196" ht="12.0" customHeight="1">
      <c r="A196" s="104"/>
      <c r="B196" s="104"/>
      <c r="C196" s="243"/>
      <c r="D196" s="243"/>
      <c r="E196" s="243"/>
      <c r="F196" s="243"/>
      <c r="G196" s="243"/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3"/>
      <c r="S196" s="243"/>
      <c r="T196" s="243"/>
      <c r="U196" s="243"/>
      <c r="V196" s="243"/>
      <c r="W196" s="243"/>
      <c r="X196" s="243"/>
      <c r="Y196" s="243"/>
      <c r="Z196" s="243"/>
      <c r="AA196" s="243"/>
      <c r="AB196" s="243"/>
      <c r="AC196" s="105"/>
      <c r="AD196" s="105"/>
      <c r="AE196" s="105"/>
      <c r="AF196" s="105"/>
      <c r="AG196" s="105"/>
      <c r="AH196" s="105"/>
      <c r="AI196" s="105"/>
      <c r="AJ196" s="105"/>
      <c r="AK196" s="105"/>
      <c r="AL196" s="105"/>
      <c r="AM196" s="105"/>
      <c r="AN196" s="105"/>
      <c r="AO196" s="105"/>
      <c r="AP196" s="105"/>
      <c r="AQ196" s="105"/>
      <c r="AR196" s="105"/>
      <c r="AS196" s="105"/>
      <c r="AT196" s="105"/>
      <c r="AU196" s="105"/>
      <c r="AV196" s="105"/>
      <c r="AW196" s="105"/>
      <c r="AX196" s="105"/>
      <c r="AY196" s="105"/>
      <c r="AZ196" s="105"/>
      <c r="BA196" s="105"/>
      <c r="BB196" s="105"/>
      <c r="BC196" s="105"/>
      <c r="BD196" s="105"/>
      <c r="BE196" s="105"/>
      <c r="BF196" s="105"/>
      <c r="BG196" s="105"/>
      <c r="BH196" s="105"/>
      <c r="BI196" s="105"/>
      <c r="BJ196" s="105"/>
      <c r="BK196" s="105"/>
      <c r="BL196" s="105"/>
      <c r="BM196" s="105"/>
      <c r="BN196" s="105"/>
      <c r="BO196" s="105"/>
      <c r="BP196" s="105"/>
      <c r="BQ196" s="105"/>
      <c r="BR196" s="105"/>
      <c r="BS196" s="105"/>
      <c r="BT196" s="105"/>
      <c r="BU196" s="105"/>
      <c r="BV196" s="105"/>
      <c r="BW196" s="105"/>
      <c r="BX196" s="105"/>
      <c r="BY196" s="105"/>
      <c r="BZ196" s="105"/>
      <c r="CA196" s="105"/>
      <c r="CB196" s="105"/>
      <c r="CC196" s="105"/>
      <c r="CD196" s="105"/>
      <c r="CE196" s="105"/>
      <c r="CF196" s="105"/>
      <c r="CG196" s="105"/>
      <c r="CH196" s="105"/>
      <c r="CI196" s="105"/>
      <c r="CJ196" s="105"/>
      <c r="CK196" s="105"/>
      <c r="CL196" s="105"/>
      <c r="CM196" s="105"/>
      <c r="CN196" s="105"/>
      <c r="CO196" s="105"/>
      <c r="CP196" s="105"/>
      <c r="CQ196" s="105"/>
      <c r="CR196" s="105"/>
      <c r="CS196" s="105"/>
      <c r="CT196" s="105"/>
      <c r="CU196" s="105"/>
      <c r="CV196" s="105"/>
      <c r="CW196" s="105"/>
      <c r="CX196" s="105"/>
      <c r="CY196" s="105"/>
      <c r="CZ196" s="104"/>
      <c r="DA196" s="105"/>
      <c r="DB196" s="105"/>
      <c r="DC196" s="105"/>
      <c r="DD196" s="105"/>
      <c r="DE196" s="105"/>
      <c r="DF196" s="105"/>
      <c r="DG196" s="105"/>
      <c r="DH196" s="105"/>
      <c r="DI196" s="105"/>
      <c r="DJ196" s="105"/>
      <c r="DK196" s="104"/>
      <c r="DL196" s="104"/>
    </row>
    <row r="197" ht="12.0" customHeight="1">
      <c r="A197" s="104"/>
      <c r="B197" s="104"/>
      <c r="C197" s="243"/>
      <c r="D197" s="243"/>
      <c r="E197" s="243"/>
      <c r="F197" s="243"/>
      <c r="G197" s="243"/>
      <c r="H197" s="243"/>
      <c r="I197" s="243"/>
      <c r="J197" s="243"/>
      <c r="K197" s="243"/>
      <c r="L197" s="243"/>
      <c r="M197" s="243"/>
      <c r="N197" s="243"/>
      <c r="O197" s="243"/>
      <c r="P197" s="243"/>
      <c r="Q197" s="243"/>
      <c r="R197" s="243"/>
      <c r="S197" s="243"/>
      <c r="T197" s="243"/>
      <c r="U197" s="243"/>
      <c r="V197" s="243"/>
      <c r="W197" s="243"/>
      <c r="X197" s="243"/>
      <c r="Y197" s="243"/>
      <c r="Z197" s="243"/>
      <c r="AA197" s="243"/>
      <c r="AB197" s="243"/>
      <c r="AC197" s="105"/>
      <c r="AD197" s="105"/>
      <c r="AE197" s="105"/>
      <c r="AF197" s="105"/>
      <c r="AG197" s="105"/>
      <c r="AH197" s="105"/>
      <c r="AI197" s="105"/>
      <c r="AJ197" s="105"/>
      <c r="AK197" s="105"/>
      <c r="AL197" s="105"/>
      <c r="AM197" s="105"/>
      <c r="AN197" s="105"/>
      <c r="AO197" s="105"/>
      <c r="AP197" s="105"/>
      <c r="AQ197" s="105"/>
      <c r="AR197" s="105"/>
      <c r="AS197" s="105"/>
      <c r="AT197" s="105"/>
      <c r="AU197" s="105"/>
      <c r="AV197" s="105"/>
      <c r="AW197" s="105"/>
      <c r="AX197" s="105"/>
      <c r="AY197" s="105"/>
      <c r="AZ197" s="105"/>
      <c r="BA197" s="105"/>
      <c r="BB197" s="105"/>
      <c r="BC197" s="105"/>
      <c r="BD197" s="105"/>
      <c r="BE197" s="105"/>
      <c r="BF197" s="105"/>
      <c r="BG197" s="105"/>
      <c r="BH197" s="105"/>
      <c r="BI197" s="105"/>
      <c r="BJ197" s="105"/>
      <c r="BK197" s="105"/>
      <c r="BL197" s="105"/>
      <c r="BM197" s="105"/>
      <c r="BN197" s="105"/>
      <c r="BO197" s="105"/>
      <c r="BP197" s="105"/>
      <c r="BQ197" s="105"/>
      <c r="BR197" s="105"/>
      <c r="BS197" s="105"/>
      <c r="BT197" s="105"/>
      <c r="BU197" s="105"/>
      <c r="BV197" s="105"/>
      <c r="BW197" s="105"/>
      <c r="BX197" s="105"/>
      <c r="BY197" s="105"/>
      <c r="BZ197" s="105"/>
      <c r="CA197" s="105"/>
      <c r="CB197" s="105"/>
      <c r="CC197" s="105"/>
      <c r="CD197" s="105"/>
      <c r="CE197" s="105"/>
      <c r="CF197" s="105"/>
      <c r="CG197" s="105"/>
      <c r="CH197" s="105"/>
      <c r="CI197" s="105"/>
      <c r="CJ197" s="105"/>
      <c r="CK197" s="105"/>
      <c r="CL197" s="105"/>
      <c r="CM197" s="105"/>
      <c r="CN197" s="105"/>
      <c r="CO197" s="105"/>
      <c r="CP197" s="105"/>
      <c r="CQ197" s="105"/>
      <c r="CR197" s="105"/>
      <c r="CS197" s="105"/>
      <c r="CT197" s="105"/>
      <c r="CU197" s="105"/>
      <c r="CV197" s="105"/>
      <c r="CW197" s="105"/>
      <c r="CX197" s="105"/>
      <c r="CY197" s="105"/>
      <c r="CZ197" s="104"/>
      <c r="DA197" s="105"/>
      <c r="DB197" s="105"/>
      <c r="DC197" s="105"/>
      <c r="DD197" s="105"/>
      <c r="DE197" s="105"/>
      <c r="DF197" s="105"/>
      <c r="DG197" s="105"/>
      <c r="DH197" s="105"/>
      <c r="DI197" s="105"/>
      <c r="DJ197" s="105"/>
      <c r="DK197" s="104"/>
      <c r="DL197" s="104"/>
    </row>
    <row r="198" ht="12.0" customHeight="1">
      <c r="A198" s="104"/>
      <c r="B198" s="104"/>
      <c r="C198" s="243"/>
      <c r="D198" s="243"/>
      <c r="E198" s="243"/>
      <c r="F198" s="243"/>
      <c r="G198" s="243"/>
      <c r="H198" s="243"/>
      <c r="I198" s="243"/>
      <c r="J198" s="243"/>
      <c r="K198" s="243"/>
      <c r="L198" s="243"/>
      <c r="M198" s="243"/>
      <c r="N198" s="243"/>
      <c r="O198" s="243"/>
      <c r="P198" s="243"/>
      <c r="Q198" s="243"/>
      <c r="R198" s="243"/>
      <c r="S198" s="243"/>
      <c r="T198" s="243"/>
      <c r="U198" s="243"/>
      <c r="V198" s="243"/>
      <c r="W198" s="243"/>
      <c r="X198" s="243"/>
      <c r="Y198" s="243"/>
      <c r="Z198" s="243"/>
      <c r="AA198" s="243"/>
      <c r="AB198" s="243"/>
      <c r="AC198" s="105"/>
      <c r="AD198" s="105"/>
      <c r="AE198" s="105"/>
      <c r="AF198" s="105"/>
      <c r="AG198" s="105"/>
      <c r="AH198" s="105"/>
      <c r="AI198" s="105"/>
      <c r="AJ198" s="105"/>
      <c r="AK198" s="105"/>
      <c r="AL198" s="105"/>
      <c r="AM198" s="105"/>
      <c r="AN198" s="105"/>
      <c r="AO198" s="105"/>
      <c r="AP198" s="105"/>
      <c r="AQ198" s="105"/>
      <c r="AR198" s="105"/>
      <c r="AS198" s="105"/>
      <c r="AT198" s="105"/>
      <c r="AU198" s="105"/>
      <c r="AV198" s="105"/>
      <c r="AW198" s="105"/>
      <c r="AX198" s="105"/>
      <c r="AY198" s="105"/>
      <c r="AZ198" s="105"/>
      <c r="BA198" s="105"/>
      <c r="BB198" s="105"/>
      <c r="BC198" s="105"/>
      <c r="BD198" s="105"/>
      <c r="BE198" s="105"/>
      <c r="BF198" s="105"/>
      <c r="BG198" s="105"/>
      <c r="BH198" s="105"/>
      <c r="BI198" s="105"/>
      <c r="BJ198" s="105"/>
      <c r="BK198" s="105"/>
      <c r="BL198" s="105"/>
      <c r="BM198" s="105"/>
      <c r="BN198" s="105"/>
      <c r="BO198" s="105"/>
      <c r="BP198" s="105"/>
      <c r="BQ198" s="105"/>
      <c r="BR198" s="105"/>
      <c r="BS198" s="105"/>
      <c r="BT198" s="105"/>
      <c r="BU198" s="105"/>
      <c r="BV198" s="105"/>
      <c r="BW198" s="105"/>
      <c r="BX198" s="105"/>
      <c r="BY198" s="105"/>
      <c r="BZ198" s="105"/>
      <c r="CA198" s="105"/>
      <c r="CB198" s="105"/>
      <c r="CC198" s="105"/>
      <c r="CD198" s="105"/>
      <c r="CE198" s="105"/>
      <c r="CF198" s="105"/>
      <c r="CG198" s="105"/>
      <c r="CH198" s="105"/>
      <c r="CI198" s="105"/>
      <c r="CJ198" s="105"/>
      <c r="CK198" s="105"/>
      <c r="CL198" s="105"/>
      <c r="CM198" s="105"/>
      <c r="CN198" s="105"/>
      <c r="CO198" s="105"/>
      <c r="CP198" s="105"/>
      <c r="CQ198" s="105"/>
      <c r="CR198" s="105"/>
      <c r="CS198" s="105"/>
      <c r="CT198" s="105"/>
      <c r="CU198" s="105"/>
      <c r="CV198" s="105"/>
      <c r="CW198" s="105"/>
      <c r="CX198" s="105"/>
      <c r="CY198" s="105"/>
      <c r="CZ198" s="104"/>
      <c r="DA198" s="105"/>
      <c r="DB198" s="105"/>
      <c r="DC198" s="105"/>
      <c r="DD198" s="105"/>
      <c r="DE198" s="105"/>
      <c r="DF198" s="105"/>
      <c r="DG198" s="105"/>
      <c r="DH198" s="105"/>
      <c r="DI198" s="105"/>
      <c r="DJ198" s="105"/>
      <c r="DK198" s="104"/>
      <c r="DL198" s="104"/>
    </row>
    <row r="199" ht="12.0" customHeight="1">
      <c r="A199" s="104"/>
      <c r="B199" s="104"/>
      <c r="C199" s="243"/>
      <c r="D199" s="243"/>
      <c r="E199" s="243"/>
      <c r="F199" s="243"/>
      <c r="G199" s="243"/>
      <c r="H199" s="243"/>
      <c r="I199" s="243"/>
      <c r="J199" s="243"/>
      <c r="K199" s="243"/>
      <c r="L199" s="243"/>
      <c r="M199" s="243"/>
      <c r="N199" s="243"/>
      <c r="O199" s="243"/>
      <c r="P199" s="243"/>
      <c r="Q199" s="243"/>
      <c r="R199" s="243"/>
      <c r="S199" s="243"/>
      <c r="T199" s="243"/>
      <c r="U199" s="243"/>
      <c r="V199" s="243"/>
      <c r="W199" s="243"/>
      <c r="X199" s="243"/>
      <c r="Y199" s="243"/>
      <c r="Z199" s="243"/>
      <c r="AA199" s="243"/>
      <c r="AB199" s="243"/>
      <c r="AC199" s="105"/>
      <c r="AD199" s="105"/>
      <c r="AE199" s="105"/>
      <c r="AF199" s="105"/>
      <c r="AG199" s="105"/>
      <c r="AH199" s="105"/>
      <c r="AI199" s="105"/>
      <c r="AJ199" s="105"/>
      <c r="AK199" s="105"/>
      <c r="AL199" s="105"/>
      <c r="AM199" s="105"/>
      <c r="AN199" s="105"/>
      <c r="AO199" s="105"/>
      <c r="AP199" s="105"/>
      <c r="AQ199" s="105"/>
      <c r="AR199" s="105"/>
      <c r="AS199" s="105"/>
      <c r="AT199" s="105"/>
      <c r="AU199" s="105"/>
      <c r="AV199" s="105"/>
      <c r="AW199" s="105"/>
      <c r="AX199" s="105"/>
      <c r="AY199" s="105"/>
      <c r="AZ199" s="105"/>
      <c r="BA199" s="105"/>
      <c r="BB199" s="105"/>
      <c r="BC199" s="105"/>
      <c r="BD199" s="105"/>
      <c r="BE199" s="105"/>
      <c r="BF199" s="105"/>
      <c r="BG199" s="105"/>
      <c r="BH199" s="105"/>
      <c r="BI199" s="105"/>
      <c r="BJ199" s="105"/>
      <c r="BK199" s="105"/>
      <c r="BL199" s="105"/>
      <c r="BM199" s="105"/>
      <c r="BN199" s="105"/>
      <c r="BO199" s="105"/>
      <c r="BP199" s="105"/>
      <c r="BQ199" s="105"/>
      <c r="BR199" s="105"/>
      <c r="BS199" s="105"/>
      <c r="BT199" s="105"/>
      <c r="BU199" s="105"/>
      <c r="BV199" s="105"/>
      <c r="BW199" s="105"/>
      <c r="BX199" s="105"/>
      <c r="BY199" s="105"/>
      <c r="BZ199" s="105"/>
      <c r="CA199" s="105"/>
      <c r="CB199" s="105"/>
      <c r="CC199" s="105"/>
      <c r="CD199" s="105"/>
      <c r="CE199" s="105"/>
      <c r="CF199" s="105"/>
      <c r="CG199" s="105"/>
      <c r="CH199" s="105"/>
      <c r="CI199" s="105"/>
      <c r="CJ199" s="105"/>
      <c r="CK199" s="105"/>
      <c r="CL199" s="105"/>
      <c r="CM199" s="105"/>
      <c r="CN199" s="105"/>
      <c r="CO199" s="105"/>
      <c r="CP199" s="105"/>
      <c r="CQ199" s="105"/>
      <c r="CR199" s="105"/>
      <c r="CS199" s="105"/>
      <c r="CT199" s="105"/>
      <c r="CU199" s="105"/>
      <c r="CV199" s="105"/>
      <c r="CW199" s="105"/>
      <c r="CX199" s="105"/>
      <c r="CY199" s="105"/>
      <c r="CZ199" s="104"/>
      <c r="DA199" s="105"/>
      <c r="DB199" s="105"/>
      <c r="DC199" s="105"/>
      <c r="DD199" s="105"/>
      <c r="DE199" s="105"/>
      <c r="DF199" s="105"/>
      <c r="DG199" s="105"/>
      <c r="DH199" s="105"/>
      <c r="DI199" s="105"/>
      <c r="DJ199" s="105"/>
      <c r="DK199" s="104"/>
      <c r="DL199" s="104"/>
    </row>
    <row r="200" ht="12.0" customHeight="1">
      <c r="A200" s="104"/>
      <c r="B200" s="104"/>
      <c r="C200" s="243"/>
      <c r="D200" s="243"/>
      <c r="E200" s="243"/>
      <c r="F200" s="243"/>
      <c r="G200" s="243"/>
      <c r="H200" s="243"/>
      <c r="I200" s="243"/>
      <c r="J200" s="243"/>
      <c r="K200" s="243"/>
      <c r="L200" s="243"/>
      <c r="M200" s="243"/>
      <c r="N200" s="243"/>
      <c r="O200" s="243"/>
      <c r="P200" s="243"/>
      <c r="Q200" s="243"/>
      <c r="R200" s="243"/>
      <c r="S200" s="243"/>
      <c r="T200" s="243"/>
      <c r="U200" s="243"/>
      <c r="V200" s="243"/>
      <c r="W200" s="243"/>
      <c r="X200" s="243"/>
      <c r="Y200" s="243"/>
      <c r="Z200" s="243"/>
      <c r="AA200" s="243"/>
      <c r="AB200" s="243"/>
      <c r="AC200" s="105"/>
      <c r="AD200" s="105"/>
      <c r="AE200" s="105"/>
      <c r="AF200" s="105"/>
      <c r="AG200" s="105"/>
      <c r="AH200" s="105"/>
      <c r="AI200" s="105"/>
      <c r="AJ200" s="105"/>
      <c r="AK200" s="105"/>
      <c r="AL200" s="105"/>
      <c r="AM200" s="105"/>
      <c r="AN200" s="105"/>
      <c r="AO200" s="105"/>
      <c r="AP200" s="105"/>
      <c r="AQ200" s="105"/>
      <c r="AR200" s="105"/>
      <c r="AS200" s="105"/>
      <c r="AT200" s="105"/>
      <c r="AU200" s="105"/>
      <c r="AV200" s="105"/>
      <c r="AW200" s="105"/>
      <c r="AX200" s="105"/>
      <c r="AY200" s="105"/>
      <c r="AZ200" s="105"/>
      <c r="BA200" s="105"/>
      <c r="BB200" s="105"/>
      <c r="BC200" s="105"/>
      <c r="BD200" s="105"/>
      <c r="BE200" s="105"/>
      <c r="BF200" s="105"/>
      <c r="BG200" s="105"/>
      <c r="BH200" s="105"/>
      <c r="BI200" s="105"/>
      <c r="BJ200" s="105"/>
      <c r="BK200" s="105"/>
      <c r="BL200" s="105"/>
      <c r="BM200" s="105"/>
      <c r="BN200" s="105"/>
      <c r="BO200" s="105"/>
      <c r="BP200" s="105"/>
      <c r="BQ200" s="105"/>
      <c r="BR200" s="105"/>
      <c r="BS200" s="105"/>
      <c r="BT200" s="105"/>
      <c r="BU200" s="105"/>
      <c r="BV200" s="105"/>
      <c r="BW200" s="105"/>
      <c r="BX200" s="105"/>
      <c r="BY200" s="105"/>
      <c r="BZ200" s="105"/>
      <c r="CA200" s="105"/>
      <c r="CB200" s="105"/>
      <c r="CC200" s="105"/>
      <c r="CD200" s="105"/>
      <c r="CE200" s="105"/>
      <c r="CF200" s="105"/>
      <c r="CG200" s="105"/>
      <c r="CH200" s="105"/>
      <c r="CI200" s="105"/>
      <c r="CJ200" s="105"/>
      <c r="CK200" s="105"/>
      <c r="CL200" s="105"/>
      <c r="CM200" s="105"/>
      <c r="CN200" s="105"/>
      <c r="CO200" s="105"/>
      <c r="CP200" s="105"/>
      <c r="CQ200" s="105"/>
      <c r="CR200" s="105"/>
      <c r="CS200" s="105"/>
      <c r="CT200" s="105"/>
      <c r="CU200" s="105"/>
      <c r="CV200" s="105"/>
      <c r="CW200" s="105"/>
      <c r="CX200" s="105"/>
      <c r="CY200" s="105"/>
      <c r="CZ200" s="104"/>
      <c r="DA200" s="105"/>
      <c r="DB200" s="105"/>
      <c r="DC200" s="105"/>
      <c r="DD200" s="105"/>
      <c r="DE200" s="105"/>
      <c r="DF200" s="105"/>
      <c r="DG200" s="105"/>
      <c r="DH200" s="105"/>
      <c r="DI200" s="105"/>
      <c r="DJ200" s="105"/>
      <c r="DK200" s="104"/>
      <c r="DL200" s="104"/>
    </row>
    <row r="201" ht="12.0" customHeight="1">
      <c r="A201" s="104"/>
      <c r="B201" s="104"/>
      <c r="C201" s="243"/>
      <c r="D201" s="243"/>
      <c r="E201" s="243"/>
      <c r="F201" s="243"/>
      <c r="G201" s="243"/>
      <c r="H201" s="243"/>
      <c r="I201" s="243"/>
      <c r="J201" s="243"/>
      <c r="K201" s="243"/>
      <c r="L201" s="243"/>
      <c r="M201" s="243"/>
      <c r="N201" s="243"/>
      <c r="O201" s="243"/>
      <c r="P201" s="243"/>
      <c r="Q201" s="243"/>
      <c r="R201" s="243"/>
      <c r="S201" s="243"/>
      <c r="T201" s="243"/>
      <c r="U201" s="243"/>
      <c r="V201" s="243"/>
      <c r="W201" s="243"/>
      <c r="X201" s="243"/>
      <c r="Y201" s="243"/>
      <c r="Z201" s="243"/>
      <c r="AA201" s="243"/>
      <c r="AB201" s="243"/>
      <c r="AC201" s="105"/>
      <c r="AD201" s="105"/>
      <c r="AE201" s="105"/>
      <c r="AF201" s="105"/>
      <c r="AG201" s="105"/>
      <c r="AH201" s="105"/>
      <c r="AI201" s="105"/>
      <c r="AJ201" s="105"/>
      <c r="AK201" s="105"/>
      <c r="AL201" s="105"/>
      <c r="AM201" s="105"/>
      <c r="AN201" s="105"/>
      <c r="AO201" s="105"/>
      <c r="AP201" s="105"/>
      <c r="AQ201" s="105"/>
      <c r="AR201" s="105"/>
      <c r="AS201" s="105"/>
      <c r="AT201" s="105"/>
      <c r="AU201" s="105"/>
      <c r="AV201" s="105"/>
      <c r="AW201" s="105"/>
      <c r="AX201" s="105"/>
      <c r="AY201" s="105"/>
      <c r="AZ201" s="105"/>
      <c r="BA201" s="105"/>
      <c r="BB201" s="105"/>
      <c r="BC201" s="105"/>
      <c r="BD201" s="105"/>
      <c r="BE201" s="105"/>
      <c r="BF201" s="105"/>
      <c r="BG201" s="105"/>
      <c r="BH201" s="105"/>
      <c r="BI201" s="105"/>
      <c r="BJ201" s="105"/>
      <c r="BK201" s="105"/>
      <c r="BL201" s="105"/>
      <c r="BM201" s="105"/>
      <c r="BN201" s="105"/>
      <c r="BO201" s="105"/>
      <c r="BP201" s="105"/>
      <c r="BQ201" s="105"/>
      <c r="BR201" s="105"/>
      <c r="BS201" s="105"/>
      <c r="BT201" s="105"/>
      <c r="BU201" s="105"/>
      <c r="BV201" s="105"/>
      <c r="BW201" s="105"/>
      <c r="BX201" s="105"/>
      <c r="BY201" s="105"/>
      <c r="BZ201" s="105"/>
      <c r="CA201" s="105"/>
      <c r="CB201" s="105"/>
      <c r="CC201" s="105"/>
      <c r="CD201" s="105"/>
      <c r="CE201" s="105"/>
      <c r="CF201" s="105"/>
      <c r="CG201" s="105"/>
      <c r="CH201" s="105"/>
      <c r="CI201" s="105"/>
      <c r="CJ201" s="105"/>
      <c r="CK201" s="105"/>
      <c r="CL201" s="105"/>
      <c r="CM201" s="105"/>
      <c r="CN201" s="105"/>
      <c r="CO201" s="105"/>
      <c r="CP201" s="105"/>
      <c r="CQ201" s="105"/>
      <c r="CR201" s="105"/>
      <c r="CS201" s="105"/>
      <c r="CT201" s="105"/>
      <c r="CU201" s="105"/>
      <c r="CV201" s="105"/>
      <c r="CW201" s="105"/>
      <c r="CX201" s="105"/>
      <c r="CY201" s="105"/>
      <c r="CZ201" s="104"/>
      <c r="DA201" s="105"/>
      <c r="DB201" s="105"/>
      <c r="DC201" s="105"/>
      <c r="DD201" s="105"/>
      <c r="DE201" s="105"/>
      <c r="DF201" s="105"/>
      <c r="DG201" s="105"/>
      <c r="DH201" s="105"/>
      <c r="DI201" s="105"/>
      <c r="DJ201" s="105"/>
      <c r="DK201" s="104"/>
      <c r="DL201" s="104"/>
    </row>
    <row r="202" ht="12.0" customHeight="1">
      <c r="A202" s="104"/>
      <c r="B202" s="104"/>
      <c r="C202" s="243"/>
      <c r="D202" s="243"/>
      <c r="E202" s="243"/>
      <c r="F202" s="243"/>
      <c r="G202" s="243"/>
      <c r="H202" s="243"/>
      <c r="I202" s="243"/>
      <c r="J202" s="243"/>
      <c r="K202" s="243"/>
      <c r="L202" s="243"/>
      <c r="M202" s="243"/>
      <c r="N202" s="243"/>
      <c r="O202" s="243"/>
      <c r="P202" s="243"/>
      <c r="Q202" s="243"/>
      <c r="R202" s="243"/>
      <c r="S202" s="243"/>
      <c r="T202" s="243"/>
      <c r="U202" s="243"/>
      <c r="V202" s="243"/>
      <c r="W202" s="243"/>
      <c r="X202" s="243"/>
      <c r="Y202" s="243"/>
      <c r="Z202" s="243"/>
      <c r="AA202" s="243"/>
      <c r="AB202" s="243"/>
      <c r="AC202" s="105"/>
      <c r="AD202" s="105"/>
      <c r="AE202" s="105"/>
      <c r="AF202" s="105"/>
      <c r="AG202" s="105"/>
      <c r="AH202" s="105"/>
      <c r="AI202" s="105"/>
      <c r="AJ202" s="105"/>
      <c r="AK202" s="105"/>
      <c r="AL202" s="105"/>
      <c r="AM202" s="105"/>
      <c r="AN202" s="105"/>
      <c r="AO202" s="105"/>
      <c r="AP202" s="105"/>
      <c r="AQ202" s="105"/>
      <c r="AR202" s="105"/>
      <c r="AS202" s="105"/>
      <c r="AT202" s="105"/>
      <c r="AU202" s="105"/>
      <c r="AV202" s="105"/>
      <c r="AW202" s="105"/>
      <c r="AX202" s="105"/>
      <c r="AY202" s="105"/>
      <c r="AZ202" s="105"/>
      <c r="BA202" s="105"/>
      <c r="BB202" s="105"/>
      <c r="BC202" s="105"/>
      <c r="BD202" s="105"/>
      <c r="BE202" s="105"/>
      <c r="BF202" s="105"/>
      <c r="BG202" s="105"/>
      <c r="BH202" s="105"/>
      <c r="BI202" s="105"/>
      <c r="BJ202" s="105"/>
      <c r="BK202" s="105"/>
      <c r="BL202" s="105"/>
      <c r="BM202" s="105"/>
      <c r="BN202" s="105"/>
      <c r="BO202" s="105"/>
      <c r="BP202" s="105"/>
      <c r="BQ202" s="105"/>
      <c r="BR202" s="105"/>
      <c r="BS202" s="105"/>
      <c r="BT202" s="105"/>
      <c r="BU202" s="105"/>
      <c r="BV202" s="105"/>
      <c r="BW202" s="105"/>
      <c r="BX202" s="105"/>
      <c r="BY202" s="105"/>
      <c r="BZ202" s="105"/>
      <c r="CA202" s="105"/>
      <c r="CB202" s="105"/>
      <c r="CC202" s="105"/>
      <c r="CD202" s="105"/>
      <c r="CE202" s="105"/>
      <c r="CF202" s="105"/>
      <c r="CG202" s="105"/>
      <c r="CH202" s="105"/>
      <c r="CI202" s="105"/>
      <c r="CJ202" s="105"/>
      <c r="CK202" s="105"/>
      <c r="CL202" s="105"/>
      <c r="CM202" s="105"/>
      <c r="CN202" s="105"/>
      <c r="CO202" s="105"/>
      <c r="CP202" s="105"/>
      <c r="CQ202" s="105"/>
      <c r="CR202" s="105"/>
      <c r="CS202" s="105"/>
      <c r="CT202" s="105"/>
      <c r="CU202" s="105"/>
      <c r="CV202" s="105"/>
      <c r="CW202" s="105"/>
      <c r="CX202" s="105"/>
      <c r="CY202" s="105"/>
      <c r="CZ202" s="104"/>
      <c r="DA202" s="105"/>
      <c r="DB202" s="105"/>
      <c r="DC202" s="105"/>
      <c r="DD202" s="105"/>
      <c r="DE202" s="105"/>
      <c r="DF202" s="105"/>
      <c r="DG202" s="105"/>
      <c r="DH202" s="105"/>
      <c r="DI202" s="105"/>
      <c r="DJ202" s="105"/>
      <c r="DK202" s="104"/>
      <c r="DL202" s="104"/>
    </row>
    <row r="203" ht="12.0" customHeight="1">
      <c r="A203" s="104"/>
      <c r="B203" s="104"/>
      <c r="C203" s="243"/>
      <c r="D203" s="243"/>
      <c r="E203" s="243"/>
      <c r="F203" s="243"/>
      <c r="G203" s="243"/>
      <c r="H203" s="243"/>
      <c r="I203" s="243"/>
      <c r="J203" s="243"/>
      <c r="K203" s="243"/>
      <c r="L203" s="243"/>
      <c r="M203" s="243"/>
      <c r="N203" s="243"/>
      <c r="O203" s="243"/>
      <c r="P203" s="243"/>
      <c r="Q203" s="243"/>
      <c r="R203" s="243"/>
      <c r="S203" s="243"/>
      <c r="T203" s="243"/>
      <c r="U203" s="243"/>
      <c r="V203" s="243"/>
      <c r="W203" s="243"/>
      <c r="X203" s="243"/>
      <c r="Y203" s="243"/>
      <c r="Z203" s="243"/>
      <c r="AA203" s="243"/>
      <c r="AB203" s="243"/>
      <c r="AC203" s="105"/>
      <c r="AD203" s="105"/>
      <c r="AE203" s="105"/>
      <c r="AF203" s="105"/>
      <c r="AG203" s="105"/>
      <c r="AH203" s="105"/>
      <c r="AI203" s="105"/>
      <c r="AJ203" s="105"/>
      <c r="AK203" s="105"/>
      <c r="AL203" s="105"/>
      <c r="AM203" s="105"/>
      <c r="AN203" s="105"/>
      <c r="AO203" s="105"/>
      <c r="AP203" s="105"/>
      <c r="AQ203" s="105"/>
      <c r="AR203" s="105"/>
      <c r="AS203" s="105"/>
      <c r="AT203" s="105"/>
      <c r="AU203" s="105"/>
      <c r="AV203" s="105"/>
      <c r="AW203" s="105"/>
      <c r="AX203" s="105"/>
      <c r="AY203" s="105"/>
      <c r="AZ203" s="105"/>
      <c r="BA203" s="105"/>
      <c r="BB203" s="105"/>
      <c r="BC203" s="105"/>
      <c r="BD203" s="105"/>
      <c r="BE203" s="105"/>
      <c r="BF203" s="105"/>
      <c r="BG203" s="105"/>
      <c r="BH203" s="105"/>
      <c r="BI203" s="105"/>
      <c r="BJ203" s="105"/>
      <c r="BK203" s="105"/>
      <c r="BL203" s="105"/>
      <c r="BM203" s="105"/>
      <c r="BN203" s="105"/>
      <c r="BO203" s="105"/>
      <c r="BP203" s="105"/>
      <c r="BQ203" s="105"/>
      <c r="BR203" s="105"/>
      <c r="BS203" s="105"/>
      <c r="BT203" s="105"/>
      <c r="BU203" s="105"/>
      <c r="BV203" s="105"/>
      <c r="BW203" s="105"/>
      <c r="BX203" s="105"/>
      <c r="BY203" s="105"/>
      <c r="BZ203" s="105"/>
      <c r="CA203" s="105"/>
      <c r="CB203" s="105"/>
      <c r="CC203" s="105"/>
      <c r="CD203" s="105"/>
      <c r="CE203" s="105"/>
      <c r="CF203" s="105"/>
      <c r="CG203" s="105"/>
      <c r="CH203" s="105"/>
      <c r="CI203" s="105"/>
      <c r="CJ203" s="105"/>
      <c r="CK203" s="105"/>
      <c r="CL203" s="105"/>
      <c r="CM203" s="105"/>
      <c r="CN203" s="105"/>
      <c r="CO203" s="105"/>
      <c r="CP203" s="105"/>
      <c r="CQ203" s="105"/>
      <c r="CR203" s="105"/>
      <c r="CS203" s="105"/>
      <c r="CT203" s="105"/>
      <c r="CU203" s="105"/>
      <c r="CV203" s="105"/>
      <c r="CW203" s="105"/>
      <c r="CX203" s="105"/>
      <c r="CY203" s="105"/>
      <c r="CZ203" s="104"/>
      <c r="DA203" s="105"/>
      <c r="DB203" s="105"/>
      <c r="DC203" s="105"/>
      <c r="DD203" s="105"/>
      <c r="DE203" s="105"/>
      <c r="DF203" s="105"/>
      <c r="DG203" s="105"/>
      <c r="DH203" s="105"/>
      <c r="DI203" s="105"/>
      <c r="DJ203" s="105"/>
      <c r="DK203" s="104"/>
      <c r="DL203" s="104"/>
    </row>
    <row r="204" ht="12.0" customHeight="1">
      <c r="A204" s="104"/>
      <c r="B204" s="104"/>
      <c r="C204" s="243"/>
      <c r="D204" s="243"/>
      <c r="E204" s="243"/>
      <c r="F204" s="243"/>
      <c r="G204" s="243"/>
      <c r="H204" s="243"/>
      <c r="I204" s="243"/>
      <c r="J204" s="243"/>
      <c r="K204" s="243"/>
      <c r="L204" s="243"/>
      <c r="M204" s="243"/>
      <c r="N204" s="243"/>
      <c r="O204" s="243"/>
      <c r="P204" s="243"/>
      <c r="Q204" s="243"/>
      <c r="R204" s="243"/>
      <c r="S204" s="243"/>
      <c r="T204" s="243"/>
      <c r="U204" s="243"/>
      <c r="V204" s="243"/>
      <c r="W204" s="243"/>
      <c r="X204" s="243"/>
      <c r="Y204" s="243"/>
      <c r="Z204" s="243"/>
      <c r="AA204" s="243"/>
      <c r="AB204" s="243"/>
      <c r="AC204" s="105"/>
      <c r="AD204" s="105"/>
      <c r="AE204" s="105"/>
      <c r="AF204" s="105"/>
      <c r="AG204" s="105"/>
      <c r="AH204" s="105"/>
      <c r="AI204" s="105"/>
      <c r="AJ204" s="105"/>
      <c r="AK204" s="105"/>
      <c r="AL204" s="105"/>
      <c r="AM204" s="105"/>
      <c r="AN204" s="105"/>
      <c r="AO204" s="105"/>
      <c r="AP204" s="105"/>
      <c r="AQ204" s="105"/>
      <c r="AR204" s="105"/>
      <c r="AS204" s="105"/>
      <c r="AT204" s="105"/>
      <c r="AU204" s="105"/>
      <c r="AV204" s="105"/>
      <c r="AW204" s="105"/>
      <c r="AX204" s="105"/>
      <c r="AY204" s="105"/>
      <c r="AZ204" s="105"/>
      <c r="BA204" s="105"/>
      <c r="BB204" s="105"/>
      <c r="BC204" s="105"/>
      <c r="BD204" s="105"/>
      <c r="BE204" s="105"/>
      <c r="BF204" s="105"/>
      <c r="BG204" s="105"/>
      <c r="BH204" s="105"/>
      <c r="BI204" s="105"/>
      <c r="BJ204" s="105"/>
      <c r="BK204" s="105"/>
      <c r="BL204" s="105"/>
      <c r="BM204" s="105"/>
      <c r="BN204" s="105"/>
      <c r="BO204" s="105"/>
      <c r="BP204" s="105"/>
      <c r="BQ204" s="105"/>
      <c r="BR204" s="105"/>
      <c r="BS204" s="105"/>
      <c r="BT204" s="105"/>
      <c r="BU204" s="105"/>
      <c r="BV204" s="105"/>
      <c r="BW204" s="105"/>
      <c r="BX204" s="105"/>
      <c r="BY204" s="105"/>
      <c r="BZ204" s="105"/>
      <c r="CA204" s="105"/>
      <c r="CB204" s="105"/>
      <c r="CC204" s="105"/>
      <c r="CD204" s="105"/>
      <c r="CE204" s="105"/>
      <c r="CF204" s="105"/>
      <c r="CG204" s="105"/>
      <c r="CH204" s="105"/>
      <c r="CI204" s="105"/>
      <c r="CJ204" s="105"/>
      <c r="CK204" s="105"/>
      <c r="CL204" s="105"/>
      <c r="CM204" s="105"/>
      <c r="CN204" s="105"/>
      <c r="CO204" s="105"/>
      <c r="CP204" s="105"/>
      <c r="CQ204" s="105"/>
      <c r="CR204" s="105"/>
      <c r="CS204" s="105"/>
      <c r="CT204" s="105"/>
      <c r="CU204" s="105"/>
      <c r="CV204" s="105"/>
      <c r="CW204" s="105"/>
      <c r="CX204" s="105"/>
      <c r="CY204" s="105"/>
      <c r="CZ204" s="104"/>
      <c r="DA204" s="105"/>
      <c r="DB204" s="105"/>
      <c r="DC204" s="105"/>
      <c r="DD204" s="105"/>
      <c r="DE204" s="105"/>
      <c r="DF204" s="105"/>
      <c r="DG204" s="105"/>
      <c r="DH204" s="105"/>
      <c r="DI204" s="105"/>
      <c r="DJ204" s="105"/>
      <c r="DK204" s="104"/>
      <c r="DL204" s="104"/>
    </row>
    <row r="205" ht="12.0" customHeight="1">
      <c r="A205" s="104"/>
      <c r="B205" s="104"/>
      <c r="C205" s="243"/>
      <c r="D205" s="243"/>
      <c r="E205" s="243"/>
      <c r="F205" s="243"/>
      <c r="G205" s="243"/>
      <c r="H205" s="243"/>
      <c r="I205" s="243"/>
      <c r="J205" s="243"/>
      <c r="K205" s="243"/>
      <c r="L205" s="243"/>
      <c r="M205" s="243"/>
      <c r="N205" s="243"/>
      <c r="O205" s="243"/>
      <c r="P205" s="243"/>
      <c r="Q205" s="243"/>
      <c r="R205" s="243"/>
      <c r="S205" s="243"/>
      <c r="T205" s="243"/>
      <c r="U205" s="243"/>
      <c r="V205" s="243"/>
      <c r="W205" s="243"/>
      <c r="X205" s="243"/>
      <c r="Y205" s="243"/>
      <c r="Z205" s="243"/>
      <c r="AA205" s="243"/>
      <c r="AB205" s="243"/>
      <c r="AC205" s="105"/>
      <c r="AD205" s="105"/>
      <c r="AE205" s="105"/>
      <c r="AF205" s="105"/>
      <c r="AG205" s="105"/>
      <c r="AH205" s="105"/>
      <c r="AI205" s="105"/>
      <c r="AJ205" s="105"/>
      <c r="AK205" s="105"/>
      <c r="AL205" s="105"/>
      <c r="AM205" s="105"/>
      <c r="AN205" s="105"/>
      <c r="AO205" s="105"/>
      <c r="AP205" s="105"/>
      <c r="AQ205" s="105"/>
      <c r="AR205" s="105"/>
      <c r="AS205" s="105"/>
      <c r="AT205" s="105"/>
      <c r="AU205" s="105"/>
      <c r="AV205" s="105"/>
      <c r="AW205" s="105"/>
      <c r="AX205" s="105"/>
      <c r="AY205" s="105"/>
      <c r="AZ205" s="105"/>
      <c r="BA205" s="105"/>
      <c r="BB205" s="105"/>
      <c r="BC205" s="105"/>
      <c r="BD205" s="105"/>
      <c r="BE205" s="105"/>
      <c r="BF205" s="105"/>
      <c r="BG205" s="105"/>
      <c r="BH205" s="105"/>
      <c r="BI205" s="105"/>
      <c r="BJ205" s="105"/>
      <c r="BK205" s="105"/>
      <c r="BL205" s="105"/>
      <c r="BM205" s="105"/>
      <c r="BN205" s="105"/>
      <c r="BO205" s="105"/>
      <c r="BP205" s="105"/>
      <c r="BQ205" s="105"/>
      <c r="BR205" s="105"/>
      <c r="BS205" s="105"/>
      <c r="BT205" s="105"/>
      <c r="BU205" s="105"/>
      <c r="BV205" s="105"/>
      <c r="BW205" s="105"/>
      <c r="BX205" s="105"/>
      <c r="BY205" s="105"/>
      <c r="BZ205" s="105"/>
      <c r="CA205" s="105"/>
      <c r="CB205" s="105"/>
      <c r="CC205" s="105"/>
      <c r="CD205" s="105"/>
      <c r="CE205" s="105"/>
      <c r="CF205" s="105"/>
      <c r="CG205" s="105"/>
      <c r="CH205" s="105"/>
      <c r="CI205" s="105"/>
      <c r="CJ205" s="105"/>
      <c r="CK205" s="105"/>
      <c r="CL205" s="105"/>
      <c r="CM205" s="105"/>
      <c r="CN205" s="105"/>
      <c r="CO205" s="105"/>
      <c r="CP205" s="105"/>
      <c r="CQ205" s="105"/>
      <c r="CR205" s="105"/>
      <c r="CS205" s="105"/>
      <c r="CT205" s="105"/>
      <c r="CU205" s="105"/>
      <c r="CV205" s="105"/>
      <c r="CW205" s="105"/>
      <c r="CX205" s="105"/>
      <c r="CY205" s="105"/>
      <c r="CZ205" s="104"/>
      <c r="DA205" s="105"/>
      <c r="DB205" s="105"/>
      <c r="DC205" s="105"/>
      <c r="DD205" s="105"/>
      <c r="DE205" s="105"/>
      <c r="DF205" s="105"/>
      <c r="DG205" s="105"/>
      <c r="DH205" s="105"/>
      <c r="DI205" s="105"/>
      <c r="DJ205" s="105"/>
      <c r="DK205" s="104"/>
      <c r="DL205" s="104"/>
    </row>
    <row r="206" ht="12.0" customHeight="1">
      <c r="A206" s="104"/>
      <c r="B206" s="104"/>
      <c r="C206" s="243"/>
      <c r="D206" s="243"/>
      <c r="E206" s="243"/>
      <c r="F206" s="243"/>
      <c r="G206" s="243"/>
      <c r="H206" s="243"/>
      <c r="I206" s="243"/>
      <c r="J206" s="243"/>
      <c r="K206" s="243"/>
      <c r="L206" s="243"/>
      <c r="M206" s="243"/>
      <c r="N206" s="243"/>
      <c r="O206" s="243"/>
      <c r="P206" s="243"/>
      <c r="Q206" s="243"/>
      <c r="R206" s="243"/>
      <c r="S206" s="243"/>
      <c r="T206" s="243"/>
      <c r="U206" s="243"/>
      <c r="V206" s="243"/>
      <c r="W206" s="243"/>
      <c r="X206" s="243"/>
      <c r="Y206" s="243"/>
      <c r="Z206" s="243"/>
      <c r="AA206" s="243"/>
      <c r="AB206" s="243"/>
      <c r="AC206" s="105"/>
      <c r="AD206" s="105"/>
      <c r="AE206" s="105"/>
      <c r="AF206" s="105"/>
      <c r="AG206" s="105"/>
      <c r="AH206" s="105"/>
      <c r="AI206" s="105"/>
      <c r="AJ206" s="105"/>
      <c r="AK206" s="105"/>
      <c r="AL206" s="105"/>
      <c r="AM206" s="105"/>
      <c r="AN206" s="105"/>
      <c r="AO206" s="105"/>
      <c r="AP206" s="105"/>
      <c r="AQ206" s="105"/>
      <c r="AR206" s="105"/>
      <c r="AS206" s="105"/>
      <c r="AT206" s="105"/>
      <c r="AU206" s="105"/>
      <c r="AV206" s="105"/>
      <c r="AW206" s="105"/>
      <c r="AX206" s="105"/>
      <c r="AY206" s="105"/>
      <c r="AZ206" s="105"/>
      <c r="BA206" s="105"/>
      <c r="BB206" s="105"/>
      <c r="BC206" s="105"/>
      <c r="BD206" s="105"/>
      <c r="BE206" s="105"/>
      <c r="BF206" s="105"/>
      <c r="BG206" s="105"/>
      <c r="BH206" s="105"/>
      <c r="BI206" s="105"/>
      <c r="BJ206" s="105"/>
      <c r="BK206" s="105"/>
      <c r="BL206" s="105"/>
      <c r="BM206" s="105"/>
      <c r="BN206" s="105"/>
      <c r="BO206" s="105"/>
      <c r="BP206" s="105"/>
      <c r="BQ206" s="105"/>
      <c r="BR206" s="105"/>
      <c r="BS206" s="105"/>
      <c r="BT206" s="105"/>
      <c r="BU206" s="105"/>
      <c r="BV206" s="105"/>
      <c r="BW206" s="105"/>
      <c r="BX206" s="105"/>
      <c r="BY206" s="105"/>
      <c r="BZ206" s="105"/>
      <c r="CA206" s="105"/>
      <c r="CB206" s="105"/>
      <c r="CC206" s="105"/>
      <c r="CD206" s="105"/>
      <c r="CE206" s="105"/>
      <c r="CF206" s="105"/>
      <c r="CG206" s="105"/>
      <c r="CH206" s="105"/>
      <c r="CI206" s="105"/>
      <c r="CJ206" s="105"/>
      <c r="CK206" s="105"/>
      <c r="CL206" s="105"/>
      <c r="CM206" s="105"/>
      <c r="CN206" s="105"/>
      <c r="CO206" s="105"/>
      <c r="CP206" s="105"/>
      <c r="CQ206" s="105"/>
      <c r="CR206" s="105"/>
      <c r="CS206" s="105"/>
      <c r="CT206" s="105"/>
      <c r="CU206" s="105"/>
      <c r="CV206" s="105"/>
      <c r="CW206" s="105"/>
      <c r="CX206" s="105"/>
      <c r="CY206" s="105"/>
      <c r="CZ206" s="104"/>
      <c r="DA206" s="105"/>
      <c r="DB206" s="105"/>
      <c r="DC206" s="105"/>
      <c r="DD206" s="105"/>
      <c r="DE206" s="105"/>
      <c r="DF206" s="105"/>
      <c r="DG206" s="105"/>
      <c r="DH206" s="105"/>
      <c r="DI206" s="105"/>
      <c r="DJ206" s="105"/>
      <c r="DK206" s="104"/>
      <c r="DL206" s="104"/>
    </row>
    <row r="207" ht="12.0" customHeight="1">
      <c r="A207" s="104"/>
      <c r="B207" s="104"/>
      <c r="C207" s="243"/>
      <c r="D207" s="243"/>
      <c r="E207" s="243"/>
      <c r="F207" s="243"/>
      <c r="G207" s="243"/>
      <c r="H207" s="243"/>
      <c r="I207" s="243"/>
      <c r="J207" s="243"/>
      <c r="K207" s="243"/>
      <c r="L207" s="243"/>
      <c r="M207" s="243"/>
      <c r="N207" s="243"/>
      <c r="O207" s="243"/>
      <c r="P207" s="243"/>
      <c r="Q207" s="243"/>
      <c r="R207" s="243"/>
      <c r="S207" s="243"/>
      <c r="T207" s="243"/>
      <c r="U207" s="243"/>
      <c r="V207" s="243"/>
      <c r="W207" s="243"/>
      <c r="X207" s="243"/>
      <c r="Y207" s="243"/>
      <c r="Z207" s="243"/>
      <c r="AA207" s="243"/>
      <c r="AB207" s="243"/>
      <c r="AC207" s="105"/>
      <c r="AD207" s="105"/>
      <c r="AE207" s="105"/>
      <c r="AF207" s="105"/>
      <c r="AG207" s="105"/>
      <c r="AH207" s="105"/>
      <c r="AI207" s="105"/>
      <c r="AJ207" s="105"/>
      <c r="AK207" s="105"/>
      <c r="AL207" s="105"/>
      <c r="AM207" s="105"/>
      <c r="AN207" s="105"/>
      <c r="AO207" s="105"/>
      <c r="AP207" s="105"/>
      <c r="AQ207" s="105"/>
      <c r="AR207" s="105"/>
      <c r="AS207" s="105"/>
      <c r="AT207" s="105"/>
      <c r="AU207" s="105"/>
      <c r="AV207" s="105"/>
      <c r="AW207" s="105"/>
      <c r="AX207" s="105"/>
      <c r="AY207" s="105"/>
      <c r="AZ207" s="105"/>
      <c r="BA207" s="105"/>
      <c r="BB207" s="105"/>
      <c r="BC207" s="105"/>
      <c r="BD207" s="105"/>
      <c r="BE207" s="105"/>
      <c r="BF207" s="105"/>
      <c r="BG207" s="105"/>
      <c r="BH207" s="105"/>
      <c r="BI207" s="105"/>
      <c r="BJ207" s="105"/>
      <c r="BK207" s="105"/>
      <c r="BL207" s="105"/>
      <c r="BM207" s="105"/>
      <c r="BN207" s="105"/>
      <c r="BO207" s="105"/>
      <c r="BP207" s="105"/>
      <c r="BQ207" s="105"/>
      <c r="BR207" s="105"/>
      <c r="BS207" s="105"/>
      <c r="BT207" s="105"/>
      <c r="BU207" s="105"/>
      <c r="BV207" s="105"/>
      <c r="BW207" s="105"/>
      <c r="BX207" s="105"/>
      <c r="BY207" s="105"/>
      <c r="BZ207" s="105"/>
      <c r="CA207" s="105"/>
      <c r="CB207" s="105"/>
      <c r="CC207" s="105"/>
      <c r="CD207" s="105"/>
      <c r="CE207" s="105"/>
      <c r="CF207" s="105"/>
      <c r="CG207" s="105"/>
      <c r="CH207" s="105"/>
      <c r="CI207" s="105"/>
      <c r="CJ207" s="105"/>
      <c r="CK207" s="105"/>
      <c r="CL207" s="105"/>
      <c r="CM207" s="105"/>
      <c r="CN207" s="105"/>
      <c r="CO207" s="105"/>
      <c r="CP207" s="105"/>
      <c r="CQ207" s="105"/>
      <c r="CR207" s="105"/>
      <c r="CS207" s="105"/>
      <c r="CT207" s="105"/>
      <c r="CU207" s="105"/>
      <c r="CV207" s="105"/>
      <c r="CW207" s="105"/>
      <c r="CX207" s="105"/>
      <c r="CY207" s="105"/>
      <c r="CZ207" s="104"/>
      <c r="DA207" s="105"/>
      <c r="DB207" s="105"/>
      <c r="DC207" s="105"/>
      <c r="DD207" s="105"/>
      <c r="DE207" s="105"/>
      <c r="DF207" s="105"/>
      <c r="DG207" s="105"/>
      <c r="DH207" s="105"/>
      <c r="DI207" s="105"/>
      <c r="DJ207" s="105"/>
      <c r="DK207" s="104"/>
      <c r="DL207" s="104"/>
    </row>
    <row r="208" ht="12.0" customHeight="1">
      <c r="A208" s="104"/>
      <c r="B208" s="104"/>
      <c r="C208" s="243"/>
      <c r="D208" s="243"/>
      <c r="E208" s="243"/>
      <c r="F208" s="243"/>
      <c r="G208" s="243"/>
      <c r="H208" s="243"/>
      <c r="I208" s="243"/>
      <c r="J208" s="243"/>
      <c r="K208" s="243"/>
      <c r="L208" s="243"/>
      <c r="M208" s="243"/>
      <c r="N208" s="243"/>
      <c r="O208" s="243"/>
      <c r="P208" s="243"/>
      <c r="Q208" s="243"/>
      <c r="R208" s="243"/>
      <c r="S208" s="243"/>
      <c r="T208" s="243"/>
      <c r="U208" s="243"/>
      <c r="V208" s="243"/>
      <c r="W208" s="243"/>
      <c r="X208" s="243"/>
      <c r="Y208" s="243"/>
      <c r="Z208" s="243"/>
      <c r="AA208" s="243"/>
      <c r="AB208" s="243"/>
      <c r="AC208" s="105"/>
      <c r="AD208" s="105"/>
      <c r="AE208" s="105"/>
      <c r="AF208" s="105"/>
      <c r="AG208" s="105"/>
      <c r="AH208" s="105"/>
      <c r="AI208" s="105"/>
      <c r="AJ208" s="105"/>
      <c r="AK208" s="105"/>
      <c r="AL208" s="105"/>
      <c r="AM208" s="105"/>
      <c r="AN208" s="105"/>
      <c r="AO208" s="105"/>
      <c r="AP208" s="105"/>
      <c r="AQ208" s="105"/>
      <c r="AR208" s="105"/>
      <c r="AS208" s="105"/>
      <c r="AT208" s="105"/>
      <c r="AU208" s="105"/>
      <c r="AV208" s="105"/>
      <c r="AW208" s="105"/>
      <c r="AX208" s="105"/>
      <c r="AY208" s="105"/>
      <c r="AZ208" s="105"/>
      <c r="BA208" s="105"/>
      <c r="BB208" s="105"/>
      <c r="BC208" s="105"/>
      <c r="BD208" s="105"/>
      <c r="BE208" s="105"/>
      <c r="BF208" s="105"/>
      <c r="BG208" s="105"/>
      <c r="BH208" s="105"/>
      <c r="BI208" s="105"/>
      <c r="BJ208" s="105"/>
      <c r="BK208" s="105"/>
      <c r="BL208" s="105"/>
      <c r="BM208" s="105"/>
      <c r="BN208" s="105"/>
      <c r="BO208" s="105"/>
      <c r="BP208" s="105"/>
      <c r="BQ208" s="105"/>
      <c r="BR208" s="105"/>
      <c r="BS208" s="105"/>
      <c r="BT208" s="105"/>
      <c r="BU208" s="105"/>
      <c r="BV208" s="105"/>
      <c r="BW208" s="105"/>
      <c r="BX208" s="105"/>
      <c r="BY208" s="105"/>
      <c r="BZ208" s="105"/>
      <c r="CA208" s="105"/>
      <c r="CB208" s="105"/>
      <c r="CC208" s="105"/>
      <c r="CD208" s="105"/>
      <c r="CE208" s="105"/>
      <c r="CF208" s="105"/>
      <c r="CG208" s="105"/>
      <c r="CH208" s="105"/>
      <c r="CI208" s="105"/>
      <c r="CJ208" s="105"/>
      <c r="CK208" s="105"/>
      <c r="CL208" s="105"/>
      <c r="CM208" s="105"/>
      <c r="CN208" s="105"/>
      <c r="CO208" s="105"/>
      <c r="CP208" s="105"/>
      <c r="CQ208" s="105"/>
      <c r="CR208" s="105"/>
      <c r="CS208" s="105"/>
      <c r="CT208" s="105"/>
      <c r="CU208" s="105"/>
      <c r="CV208" s="105"/>
      <c r="CW208" s="105"/>
      <c r="CX208" s="105"/>
      <c r="CY208" s="105"/>
      <c r="CZ208" s="104"/>
      <c r="DA208" s="105"/>
      <c r="DB208" s="105"/>
      <c r="DC208" s="105"/>
      <c r="DD208" s="105"/>
      <c r="DE208" s="105"/>
      <c r="DF208" s="105"/>
      <c r="DG208" s="105"/>
      <c r="DH208" s="105"/>
      <c r="DI208" s="105"/>
      <c r="DJ208" s="105"/>
      <c r="DK208" s="104"/>
      <c r="DL208" s="104"/>
    </row>
    <row r="209" ht="12.0" customHeight="1">
      <c r="A209" s="104"/>
      <c r="B209" s="104"/>
      <c r="C209" s="243"/>
      <c r="D209" s="243"/>
      <c r="E209" s="243"/>
      <c r="F209" s="243"/>
      <c r="G209" s="243"/>
      <c r="H209" s="243"/>
      <c r="I209" s="243"/>
      <c r="J209" s="243"/>
      <c r="K209" s="243"/>
      <c r="L209" s="243"/>
      <c r="M209" s="243"/>
      <c r="N209" s="243"/>
      <c r="O209" s="243"/>
      <c r="P209" s="243"/>
      <c r="Q209" s="243"/>
      <c r="R209" s="243"/>
      <c r="S209" s="243"/>
      <c r="T209" s="243"/>
      <c r="U209" s="243"/>
      <c r="V209" s="243"/>
      <c r="W209" s="243"/>
      <c r="X209" s="243"/>
      <c r="Y209" s="243"/>
      <c r="Z209" s="243"/>
      <c r="AA209" s="243"/>
      <c r="AB209" s="243"/>
      <c r="AC209" s="105"/>
      <c r="AD209" s="105"/>
      <c r="AE209" s="105"/>
      <c r="AF209" s="105"/>
      <c r="AG209" s="105"/>
      <c r="AH209" s="105"/>
      <c r="AI209" s="105"/>
      <c r="AJ209" s="105"/>
      <c r="AK209" s="105"/>
      <c r="AL209" s="105"/>
      <c r="AM209" s="105"/>
      <c r="AN209" s="105"/>
      <c r="AO209" s="105"/>
      <c r="AP209" s="105"/>
      <c r="AQ209" s="105"/>
      <c r="AR209" s="105"/>
      <c r="AS209" s="105"/>
      <c r="AT209" s="105"/>
      <c r="AU209" s="105"/>
      <c r="AV209" s="105"/>
      <c r="AW209" s="105"/>
      <c r="AX209" s="105"/>
      <c r="AY209" s="105"/>
      <c r="AZ209" s="105"/>
      <c r="BA209" s="105"/>
      <c r="BB209" s="105"/>
      <c r="BC209" s="105"/>
      <c r="BD209" s="105"/>
      <c r="BE209" s="105"/>
      <c r="BF209" s="105"/>
      <c r="BG209" s="105"/>
      <c r="BH209" s="105"/>
      <c r="BI209" s="105"/>
      <c r="BJ209" s="105"/>
      <c r="BK209" s="105"/>
      <c r="BL209" s="105"/>
      <c r="BM209" s="105"/>
      <c r="BN209" s="105"/>
      <c r="BO209" s="105"/>
      <c r="BP209" s="105"/>
      <c r="BQ209" s="105"/>
      <c r="BR209" s="105"/>
      <c r="BS209" s="105"/>
      <c r="BT209" s="105"/>
      <c r="BU209" s="105"/>
      <c r="BV209" s="105"/>
      <c r="BW209" s="105"/>
      <c r="BX209" s="105"/>
      <c r="BY209" s="105"/>
      <c r="BZ209" s="105"/>
      <c r="CA209" s="105"/>
      <c r="CB209" s="105"/>
      <c r="CC209" s="105"/>
      <c r="CD209" s="105"/>
      <c r="CE209" s="105"/>
      <c r="CF209" s="105"/>
      <c r="CG209" s="105"/>
      <c r="CH209" s="105"/>
      <c r="CI209" s="105"/>
      <c r="CJ209" s="105"/>
      <c r="CK209" s="105"/>
      <c r="CL209" s="105"/>
      <c r="CM209" s="105"/>
      <c r="CN209" s="105"/>
      <c r="CO209" s="105"/>
      <c r="CP209" s="105"/>
      <c r="CQ209" s="105"/>
      <c r="CR209" s="105"/>
      <c r="CS209" s="105"/>
      <c r="CT209" s="105"/>
      <c r="CU209" s="105"/>
      <c r="CV209" s="105"/>
      <c r="CW209" s="105"/>
      <c r="CX209" s="105"/>
      <c r="CY209" s="105"/>
      <c r="CZ209" s="104"/>
      <c r="DA209" s="105"/>
      <c r="DB209" s="105"/>
      <c r="DC209" s="105"/>
      <c r="DD209" s="105"/>
      <c r="DE209" s="105"/>
      <c r="DF209" s="105"/>
      <c r="DG209" s="105"/>
      <c r="DH209" s="105"/>
      <c r="DI209" s="105"/>
      <c r="DJ209" s="105"/>
      <c r="DK209" s="104"/>
      <c r="DL209" s="104"/>
    </row>
    <row r="210" ht="12.0" customHeight="1">
      <c r="A210" s="104"/>
      <c r="B210" s="104"/>
      <c r="C210" s="243"/>
      <c r="D210" s="243"/>
      <c r="E210" s="243"/>
      <c r="F210" s="243"/>
      <c r="G210" s="243"/>
      <c r="H210" s="243"/>
      <c r="I210" s="243"/>
      <c r="J210" s="243"/>
      <c r="K210" s="243"/>
      <c r="L210" s="243"/>
      <c r="M210" s="243"/>
      <c r="N210" s="243"/>
      <c r="O210" s="243"/>
      <c r="P210" s="243"/>
      <c r="Q210" s="243"/>
      <c r="R210" s="243"/>
      <c r="S210" s="243"/>
      <c r="T210" s="243"/>
      <c r="U210" s="243"/>
      <c r="V210" s="243"/>
      <c r="W210" s="243"/>
      <c r="X210" s="243"/>
      <c r="Y210" s="243"/>
      <c r="Z210" s="243"/>
      <c r="AA210" s="243"/>
      <c r="AB210" s="243"/>
      <c r="AC210" s="105"/>
      <c r="AD210" s="105"/>
      <c r="AE210" s="105"/>
      <c r="AF210" s="105"/>
      <c r="AG210" s="105"/>
      <c r="AH210" s="105"/>
      <c r="AI210" s="105"/>
      <c r="AJ210" s="105"/>
      <c r="AK210" s="105"/>
      <c r="AL210" s="105"/>
      <c r="AM210" s="105"/>
      <c r="AN210" s="105"/>
      <c r="AO210" s="105"/>
      <c r="AP210" s="105"/>
      <c r="AQ210" s="105"/>
      <c r="AR210" s="105"/>
      <c r="AS210" s="105"/>
      <c r="AT210" s="105"/>
      <c r="AU210" s="105"/>
      <c r="AV210" s="105"/>
      <c r="AW210" s="105"/>
      <c r="AX210" s="105"/>
      <c r="AY210" s="105"/>
      <c r="AZ210" s="105"/>
      <c r="BA210" s="105"/>
      <c r="BB210" s="105"/>
      <c r="BC210" s="105"/>
      <c r="BD210" s="105"/>
      <c r="BE210" s="105"/>
      <c r="BF210" s="105"/>
      <c r="BG210" s="105"/>
      <c r="BH210" s="105"/>
      <c r="BI210" s="105"/>
      <c r="BJ210" s="105"/>
      <c r="BK210" s="105"/>
      <c r="BL210" s="105"/>
      <c r="BM210" s="105"/>
      <c r="BN210" s="105"/>
      <c r="BO210" s="105"/>
      <c r="BP210" s="105"/>
      <c r="BQ210" s="105"/>
      <c r="BR210" s="105"/>
      <c r="BS210" s="105"/>
      <c r="BT210" s="105"/>
      <c r="BU210" s="105"/>
      <c r="BV210" s="105"/>
      <c r="BW210" s="105"/>
      <c r="BX210" s="105"/>
      <c r="BY210" s="105"/>
      <c r="BZ210" s="105"/>
      <c r="CA210" s="105"/>
      <c r="CB210" s="105"/>
      <c r="CC210" s="105"/>
      <c r="CD210" s="105"/>
      <c r="CE210" s="105"/>
      <c r="CF210" s="105"/>
      <c r="CG210" s="105"/>
      <c r="CH210" s="105"/>
      <c r="CI210" s="105"/>
      <c r="CJ210" s="105"/>
      <c r="CK210" s="105"/>
      <c r="CL210" s="105"/>
      <c r="CM210" s="105"/>
      <c r="CN210" s="105"/>
      <c r="CO210" s="105"/>
      <c r="CP210" s="105"/>
      <c r="CQ210" s="105"/>
      <c r="CR210" s="105"/>
      <c r="CS210" s="105"/>
      <c r="CT210" s="105"/>
      <c r="CU210" s="105"/>
      <c r="CV210" s="105"/>
      <c r="CW210" s="105"/>
      <c r="CX210" s="105"/>
      <c r="CY210" s="105"/>
      <c r="CZ210" s="104"/>
      <c r="DA210" s="105"/>
      <c r="DB210" s="105"/>
      <c r="DC210" s="105"/>
      <c r="DD210" s="105"/>
      <c r="DE210" s="105"/>
      <c r="DF210" s="105"/>
      <c r="DG210" s="105"/>
      <c r="DH210" s="105"/>
      <c r="DI210" s="105"/>
      <c r="DJ210" s="105"/>
      <c r="DK210" s="104"/>
      <c r="DL210" s="104"/>
    </row>
    <row r="211" ht="12.0" customHeight="1">
      <c r="A211" s="104"/>
      <c r="B211" s="104"/>
      <c r="C211" s="243"/>
      <c r="D211" s="243"/>
      <c r="E211" s="243"/>
      <c r="F211" s="243"/>
      <c r="G211" s="243"/>
      <c r="H211" s="243"/>
      <c r="I211" s="243"/>
      <c r="J211" s="243"/>
      <c r="K211" s="243"/>
      <c r="L211" s="243"/>
      <c r="M211" s="243"/>
      <c r="N211" s="243"/>
      <c r="O211" s="243"/>
      <c r="P211" s="243"/>
      <c r="Q211" s="243"/>
      <c r="R211" s="243"/>
      <c r="S211" s="243"/>
      <c r="T211" s="243"/>
      <c r="U211" s="243"/>
      <c r="V211" s="243"/>
      <c r="W211" s="243"/>
      <c r="X211" s="243"/>
      <c r="Y211" s="243"/>
      <c r="Z211" s="243"/>
      <c r="AA211" s="243"/>
      <c r="AB211" s="243"/>
      <c r="AC211" s="105"/>
      <c r="AD211" s="105"/>
      <c r="AE211" s="105"/>
      <c r="AF211" s="105"/>
      <c r="AG211" s="105"/>
      <c r="AH211" s="105"/>
      <c r="AI211" s="105"/>
      <c r="AJ211" s="105"/>
      <c r="AK211" s="105"/>
      <c r="AL211" s="105"/>
      <c r="AM211" s="105"/>
      <c r="AN211" s="105"/>
      <c r="AO211" s="105"/>
      <c r="AP211" s="105"/>
      <c r="AQ211" s="105"/>
      <c r="AR211" s="105"/>
      <c r="AS211" s="105"/>
      <c r="AT211" s="105"/>
      <c r="AU211" s="105"/>
      <c r="AV211" s="105"/>
      <c r="AW211" s="105"/>
      <c r="AX211" s="105"/>
      <c r="AY211" s="105"/>
      <c r="AZ211" s="105"/>
      <c r="BA211" s="105"/>
      <c r="BB211" s="105"/>
      <c r="BC211" s="105"/>
      <c r="BD211" s="105"/>
      <c r="BE211" s="105"/>
      <c r="BF211" s="105"/>
      <c r="BG211" s="105"/>
      <c r="BH211" s="105"/>
      <c r="BI211" s="105"/>
      <c r="BJ211" s="105"/>
      <c r="BK211" s="105"/>
      <c r="BL211" s="105"/>
      <c r="BM211" s="105"/>
      <c r="BN211" s="105"/>
      <c r="BO211" s="105"/>
      <c r="BP211" s="105"/>
      <c r="BQ211" s="105"/>
      <c r="BR211" s="105"/>
      <c r="BS211" s="105"/>
      <c r="BT211" s="105"/>
      <c r="BU211" s="105"/>
      <c r="BV211" s="105"/>
      <c r="BW211" s="105"/>
      <c r="BX211" s="105"/>
      <c r="BY211" s="105"/>
      <c r="BZ211" s="105"/>
      <c r="CA211" s="105"/>
      <c r="CB211" s="105"/>
      <c r="CC211" s="105"/>
      <c r="CD211" s="105"/>
      <c r="CE211" s="105"/>
      <c r="CF211" s="105"/>
      <c r="CG211" s="105"/>
      <c r="CH211" s="105"/>
      <c r="CI211" s="105"/>
      <c r="CJ211" s="105"/>
      <c r="CK211" s="105"/>
      <c r="CL211" s="105"/>
      <c r="CM211" s="105"/>
      <c r="CN211" s="105"/>
      <c r="CO211" s="105"/>
      <c r="CP211" s="105"/>
      <c r="CQ211" s="105"/>
      <c r="CR211" s="105"/>
      <c r="CS211" s="105"/>
      <c r="CT211" s="105"/>
      <c r="CU211" s="105"/>
      <c r="CV211" s="105"/>
      <c r="CW211" s="105"/>
      <c r="CX211" s="105"/>
      <c r="CY211" s="105"/>
      <c r="CZ211" s="104"/>
      <c r="DA211" s="105"/>
      <c r="DB211" s="105"/>
      <c r="DC211" s="105"/>
      <c r="DD211" s="105"/>
      <c r="DE211" s="105"/>
      <c r="DF211" s="105"/>
      <c r="DG211" s="105"/>
      <c r="DH211" s="105"/>
      <c r="DI211" s="105"/>
      <c r="DJ211" s="105"/>
      <c r="DK211" s="104"/>
      <c r="DL211" s="104"/>
    </row>
    <row r="212" ht="12.0" customHeight="1">
      <c r="A212" s="104"/>
      <c r="B212" s="104"/>
      <c r="C212" s="243"/>
      <c r="D212" s="243"/>
      <c r="E212" s="243"/>
      <c r="F212" s="243"/>
      <c r="G212" s="243"/>
      <c r="H212" s="243"/>
      <c r="I212" s="243"/>
      <c r="J212" s="243"/>
      <c r="K212" s="243"/>
      <c r="L212" s="243"/>
      <c r="M212" s="243"/>
      <c r="N212" s="243"/>
      <c r="O212" s="243"/>
      <c r="P212" s="243"/>
      <c r="Q212" s="243"/>
      <c r="R212" s="243"/>
      <c r="S212" s="243"/>
      <c r="T212" s="243"/>
      <c r="U212" s="243"/>
      <c r="V212" s="243"/>
      <c r="W212" s="243"/>
      <c r="X212" s="243"/>
      <c r="Y212" s="243"/>
      <c r="Z212" s="243"/>
      <c r="AA212" s="243"/>
      <c r="AB212" s="243"/>
      <c r="AC212" s="105"/>
      <c r="AD212" s="105"/>
      <c r="AE212" s="105"/>
      <c r="AF212" s="105"/>
      <c r="AG212" s="105"/>
      <c r="AH212" s="105"/>
      <c r="AI212" s="105"/>
      <c r="AJ212" s="105"/>
      <c r="AK212" s="105"/>
      <c r="AL212" s="105"/>
      <c r="AM212" s="105"/>
      <c r="AN212" s="105"/>
      <c r="AO212" s="105"/>
      <c r="AP212" s="105"/>
      <c r="AQ212" s="105"/>
      <c r="AR212" s="105"/>
      <c r="AS212" s="105"/>
      <c r="AT212" s="105"/>
      <c r="AU212" s="105"/>
      <c r="AV212" s="105"/>
      <c r="AW212" s="105"/>
      <c r="AX212" s="105"/>
      <c r="AY212" s="105"/>
      <c r="AZ212" s="105"/>
      <c r="BA212" s="105"/>
      <c r="BB212" s="105"/>
      <c r="BC212" s="105"/>
      <c r="BD212" s="105"/>
      <c r="BE212" s="105"/>
      <c r="BF212" s="105"/>
      <c r="BG212" s="105"/>
      <c r="BH212" s="105"/>
      <c r="BI212" s="105"/>
      <c r="BJ212" s="105"/>
      <c r="BK212" s="105"/>
      <c r="BL212" s="105"/>
      <c r="BM212" s="105"/>
      <c r="BN212" s="105"/>
      <c r="BO212" s="105"/>
      <c r="BP212" s="105"/>
      <c r="BQ212" s="105"/>
      <c r="BR212" s="105"/>
      <c r="BS212" s="105"/>
      <c r="BT212" s="105"/>
      <c r="BU212" s="105"/>
      <c r="BV212" s="105"/>
      <c r="BW212" s="105"/>
      <c r="BX212" s="105"/>
      <c r="BY212" s="105"/>
      <c r="BZ212" s="105"/>
      <c r="CA212" s="105"/>
      <c r="CB212" s="105"/>
      <c r="CC212" s="105"/>
      <c r="CD212" s="105"/>
      <c r="CE212" s="105"/>
      <c r="CF212" s="105"/>
      <c r="CG212" s="105"/>
      <c r="CH212" s="105"/>
      <c r="CI212" s="105"/>
      <c r="CJ212" s="105"/>
      <c r="CK212" s="105"/>
      <c r="CL212" s="105"/>
      <c r="CM212" s="105"/>
      <c r="CN212" s="105"/>
      <c r="CO212" s="105"/>
      <c r="CP212" s="105"/>
      <c r="CQ212" s="105"/>
      <c r="CR212" s="105"/>
      <c r="CS212" s="105"/>
      <c r="CT212" s="105"/>
      <c r="CU212" s="105"/>
      <c r="CV212" s="105"/>
      <c r="CW212" s="105"/>
      <c r="CX212" s="105"/>
      <c r="CY212" s="105"/>
      <c r="CZ212" s="104"/>
      <c r="DA212" s="105"/>
      <c r="DB212" s="105"/>
      <c r="DC212" s="105"/>
      <c r="DD212" s="105"/>
      <c r="DE212" s="105"/>
      <c r="DF212" s="105"/>
      <c r="DG212" s="105"/>
      <c r="DH212" s="105"/>
      <c r="DI212" s="105"/>
      <c r="DJ212" s="105"/>
      <c r="DK212" s="104"/>
      <c r="DL212" s="104"/>
    </row>
    <row r="213" ht="12.0" customHeight="1">
      <c r="A213" s="104"/>
      <c r="B213" s="104"/>
      <c r="C213" s="243"/>
      <c r="D213" s="243"/>
      <c r="E213" s="243"/>
      <c r="F213" s="243"/>
      <c r="G213" s="243"/>
      <c r="H213" s="243"/>
      <c r="I213" s="243"/>
      <c r="J213" s="243"/>
      <c r="K213" s="243"/>
      <c r="L213" s="243"/>
      <c r="M213" s="243"/>
      <c r="N213" s="243"/>
      <c r="O213" s="243"/>
      <c r="P213" s="243"/>
      <c r="Q213" s="243"/>
      <c r="R213" s="243"/>
      <c r="S213" s="243"/>
      <c r="T213" s="243"/>
      <c r="U213" s="243"/>
      <c r="V213" s="243"/>
      <c r="W213" s="243"/>
      <c r="X213" s="243"/>
      <c r="Y213" s="243"/>
      <c r="Z213" s="243"/>
      <c r="AA213" s="243"/>
      <c r="AB213" s="243"/>
      <c r="AC213" s="105"/>
      <c r="AD213" s="105"/>
      <c r="AE213" s="105"/>
      <c r="AF213" s="105"/>
      <c r="AG213" s="105"/>
      <c r="AH213" s="105"/>
      <c r="AI213" s="105"/>
      <c r="AJ213" s="105"/>
      <c r="AK213" s="105"/>
      <c r="AL213" s="105"/>
      <c r="AM213" s="105"/>
      <c r="AN213" s="105"/>
      <c r="AO213" s="105"/>
      <c r="AP213" s="105"/>
      <c r="AQ213" s="105"/>
      <c r="AR213" s="105"/>
      <c r="AS213" s="105"/>
      <c r="AT213" s="105"/>
      <c r="AU213" s="105"/>
      <c r="AV213" s="105"/>
      <c r="AW213" s="105"/>
      <c r="AX213" s="105"/>
      <c r="AY213" s="105"/>
      <c r="AZ213" s="105"/>
      <c r="BA213" s="105"/>
      <c r="BB213" s="105"/>
      <c r="BC213" s="105"/>
      <c r="BD213" s="105"/>
      <c r="BE213" s="105"/>
      <c r="BF213" s="105"/>
      <c r="BG213" s="105"/>
      <c r="BH213" s="105"/>
      <c r="BI213" s="105"/>
      <c r="BJ213" s="105"/>
      <c r="BK213" s="105"/>
      <c r="BL213" s="105"/>
      <c r="BM213" s="105"/>
      <c r="BN213" s="105"/>
      <c r="BO213" s="105"/>
      <c r="BP213" s="105"/>
      <c r="BQ213" s="105"/>
      <c r="BR213" s="105"/>
      <c r="BS213" s="105"/>
      <c r="BT213" s="105"/>
      <c r="BU213" s="105"/>
      <c r="BV213" s="105"/>
      <c r="BW213" s="105"/>
      <c r="BX213" s="105"/>
      <c r="BY213" s="105"/>
      <c r="BZ213" s="105"/>
      <c r="CA213" s="105"/>
      <c r="CB213" s="105"/>
      <c r="CC213" s="105"/>
      <c r="CD213" s="105"/>
      <c r="CE213" s="105"/>
      <c r="CF213" s="105"/>
      <c r="CG213" s="105"/>
      <c r="CH213" s="105"/>
      <c r="CI213" s="105"/>
      <c r="CJ213" s="105"/>
      <c r="CK213" s="105"/>
      <c r="CL213" s="105"/>
      <c r="CM213" s="105"/>
      <c r="CN213" s="105"/>
      <c r="CO213" s="105"/>
      <c r="CP213" s="105"/>
      <c r="CQ213" s="105"/>
      <c r="CR213" s="105"/>
      <c r="CS213" s="105"/>
      <c r="CT213" s="105"/>
      <c r="CU213" s="105"/>
      <c r="CV213" s="105"/>
      <c r="CW213" s="105"/>
      <c r="CX213" s="105"/>
      <c r="CY213" s="105"/>
      <c r="CZ213" s="104"/>
      <c r="DA213" s="105"/>
      <c r="DB213" s="105"/>
      <c r="DC213" s="105"/>
      <c r="DD213" s="105"/>
      <c r="DE213" s="105"/>
      <c r="DF213" s="105"/>
      <c r="DG213" s="105"/>
      <c r="DH213" s="105"/>
      <c r="DI213" s="105"/>
      <c r="DJ213" s="105"/>
      <c r="DK213" s="104"/>
      <c r="DL213" s="104"/>
    </row>
    <row r="214" ht="12.0" customHeight="1">
      <c r="A214" s="104"/>
      <c r="B214" s="104"/>
      <c r="C214" s="243"/>
      <c r="D214" s="243"/>
      <c r="E214" s="243"/>
      <c r="F214" s="243"/>
      <c r="G214" s="243"/>
      <c r="H214" s="243"/>
      <c r="I214" s="243"/>
      <c r="J214" s="243"/>
      <c r="K214" s="243"/>
      <c r="L214" s="243"/>
      <c r="M214" s="243"/>
      <c r="N214" s="243"/>
      <c r="O214" s="243"/>
      <c r="P214" s="243"/>
      <c r="Q214" s="243"/>
      <c r="R214" s="243"/>
      <c r="S214" s="243"/>
      <c r="T214" s="243"/>
      <c r="U214" s="243"/>
      <c r="V214" s="243"/>
      <c r="W214" s="243"/>
      <c r="X214" s="243"/>
      <c r="Y214" s="243"/>
      <c r="Z214" s="243"/>
      <c r="AA214" s="243"/>
      <c r="AB214" s="243"/>
      <c r="AC214" s="105"/>
      <c r="AD214" s="105"/>
      <c r="AE214" s="105"/>
      <c r="AF214" s="105"/>
      <c r="AG214" s="105"/>
      <c r="AH214" s="105"/>
      <c r="AI214" s="105"/>
      <c r="AJ214" s="105"/>
      <c r="AK214" s="105"/>
      <c r="AL214" s="105"/>
      <c r="AM214" s="105"/>
      <c r="AN214" s="105"/>
      <c r="AO214" s="105"/>
      <c r="AP214" s="105"/>
      <c r="AQ214" s="105"/>
      <c r="AR214" s="105"/>
      <c r="AS214" s="105"/>
      <c r="AT214" s="105"/>
      <c r="AU214" s="105"/>
      <c r="AV214" s="105"/>
      <c r="AW214" s="105"/>
      <c r="AX214" s="105"/>
      <c r="AY214" s="105"/>
      <c r="AZ214" s="105"/>
      <c r="BA214" s="105"/>
      <c r="BB214" s="105"/>
      <c r="BC214" s="105"/>
      <c r="BD214" s="105"/>
      <c r="BE214" s="105"/>
      <c r="BF214" s="105"/>
      <c r="BG214" s="105"/>
      <c r="BH214" s="105"/>
      <c r="BI214" s="105"/>
      <c r="BJ214" s="105"/>
      <c r="BK214" s="105"/>
      <c r="BL214" s="105"/>
      <c r="BM214" s="105"/>
      <c r="BN214" s="105"/>
      <c r="BO214" s="105"/>
      <c r="BP214" s="105"/>
      <c r="BQ214" s="105"/>
      <c r="BR214" s="105"/>
      <c r="BS214" s="105"/>
      <c r="BT214" s="105"/>
      <c r="BU214" s="105"/>
      <c r="BV214" s="105"/>
      <c r="BW214" s="105"/>
      <c r="BX214" s="105"/>
      <c r="BY214" s="105"/>
      <c r="BZ214" s="105"/>
      <c r="CA214" s="105"/>
      <c r="CB214" s="105"/>
      <c r="CC214" s="105"/>
      <c r="CD214" s="105"/>
      <c r="CE214" s="105"/>
      <c r="CF214" s="105"/>
      <c r="CG214" s="105"/>
      <c r="CH214" s="105"/>
      <c r="CI214" s="105"/>
      <c r="CJ214" s="105"/>
      <c r="CK214" s="105"/>
      <c r="CL214" s="105"/>
      <c r="CM214" s="105"/>
      <c r="CN214" s="105"/>
      <c r="CO214" s="105"/>
      <c r="CP214" s="105"/>
      <c r="CQ214" s="105"/>
      <c r="CR214" s="105"/>
      <c r="CS214" s="105"/>
      <c r="CT214" s="105"/>
      <c r="CU214" s="105"/>
      <c r="CV214" s="105"/>
      <c r="CW214" s="105"/>
      <c r="CX214" s="105"/>
      <c r="CY214" s="105"/>
      <c r="CZ214" s="104"/>
      <c r="DA214" s="105"/>
      <c r="DB214" s="105"/>
      <c r="DC214" s="105"/>
      <c r="DD214" s="105"/>
      <c r="DE214" s="105"/>
      <c r="DF214" s="105"/>
      <c r="DG214" s="105"/>
      <c r="DH214" s="105"/>
      <c r="DI214" s="105"/>
      <c r="DJ214" s="105"/>
      <c r="DK214" s="104"/>
      <c r="DL214" s="104"/>
    </row>
    <row r="215" ht="12.0" customHeight="1">
      <c r="A215" s="104"/>
      <c r="B215" s="104"/>
      <c r="C215" s="243"/>
      <c r="D215" s="243"/>
      <c r="E215" s="243"/>
      <c r="F215" s="243"/>
      <c r="G215" s="243"/>
      <c r="H215" s="243"/>
      <c r="I215" s="243"/>
      <c r="J215" s="243"/>
      <c r="K215" s="243"/>
      <c r="L215" s="243"/>
      <c r="M215" s="243"/>
      <c r="N215" s="243"/>
      <c r="O215" s="243"/>
      <c r="P215" s="243"/>
      <c r="Q215" s="243"/>
      <c r="R215" s="243"/>
      <c r="S215" s="243"/>
      <c r="T215" s="243"/>
      <c r="U215" s="243"/>
      <c r="V215" s="243"/>
      <c r="W215" s="243"/>
      <c r="X215" s="243"/>
      <c r="Y215" s="243"/>
      <c r="Z215" s="243"/>
      <c r="AA215" s="243"/>
      <c r="AB215" s="243"/>
      <c r="AC215" s="105"/>
      <c r="AD215" s="105"/>
      <c r="AE215" s="105"/>
      <c r="AF215" s="105"/>
      <c r="AG215" s="105"/>
      <c r="AH215" s="105"/>
      <c r="AI215" s="105"/>
      <c r="AJ215" s="105"/>
      <c r="AK215" s="105"/>
      <c r="AL215" s="105"/>
      <c r="AM215" s="105"/>
      <c r="AN215" s="105"/>
      <c r="AO215" s="105"/>
      <c r="AP215" s="105"/>
      <c r="AQ215" s="105"/>
      <c r="AR215" s="105"/>
      <c r="AS215" s="105"/>
      <c r="AT215" s="105"/>
      <c r="AU215" s="105"/>
      <c r="AV215" s="105"/>
      <c r="AW215" s="105"/>
      <c r="AX215" s="105"/>
      <c r="AY215" s="105"/>
      <c r="AZ215" s="105"/>
      <c r="BA215" s="105"/>
      <c r="BB215" s="105"/>
      <c r="BC215" s="105"/>
      <c r="BD215" s="105"/>
      <c r="BE215" s="105"/>
      <c r="BF215" s="105"/>
      <c r="BG215" s="105"/>
      <c r="BH215" s="105"/>
      <c r="BI215" s="105"/>
      <c r="BJ215" s="105"/>
      <c r="BK215" s="105"/>
      <c r="BL215" s="105"/>
      <c r="BM215" s="105"/>
      <c r="BN215" s="105"/>
      <c r="BO215" s="105"/>
      <c r="BP215" s="105"/>
      <c r="BQ215" s="105"/>
      <c r="BR215" s="105"/>
      <c r="BS215" s="105"/>
      <c r="BT215" s="105"/>
      <c r="BU215" s="105"/>
      <c r="BV215" s="105"/>
      <c r="BW215" s="105"/>
      <c r="BX215" s="105"/>
      <c r="BY215" s="105"/>
      <c r="BZ215" s="105"/>
      <c r="CA215" s="105"/>
      <c r="CB215" s="105"/>
      <c r="CC215" s="105"/>
      <c r="CD215" s="105"/>
      <c r="CE215" s="105"/>
      <c r="CF215" s="105"/>
      <c r="CG215" s="105"/>
      <c r="CH215" s="105"/>
      <c r="CI215" s="105"/>
      <c r="CJ215" s="105"/>
      <c r="CK215" s="105"/>
      <c r="CL215" s="105"/>
      <c r="CM215" s="105"/>
      <c r="CN215" s="105"/>
      <c r="CO215" s="105"/>
      <c r="CP215" s="105"/>
      <c r="CQ215" s="105"/>
      <c r="CR215" s="105"/>
      <c r="CS215" s="105"/>
      <c r="CT215" s="105"/>
      <c r="CU215" s="105"/>
      <c r="CV215" s="105"/>
      <c r="CW215" s="105"/>
      <c r="CX215" s="105"/>
      <c r="CY215" s="105"/>
      <c r="CZ215" s="104"/>
      <c r="DA215" s="105"/>
      <c r="DB215" s="105"/>
      <c r="DC215" s="105"/>
      <c r="DD215" s="105"/>
      <c r="DE215" s="105"/>
      <c r="DF215" s="105"/>
      <c r="DG215" s="105"/>
      <c r="DH215" s="105"/>
      <c r="DI215" s="105"/>
      <c r="DJ215" s="105"/>
      <c r="DK215" s="104"/>
      <c r="DL215" s="104"/>
    </row>
    <row r="216" ht="12.0" customHeight="1">
      <c r="A216" s="104"/>
      <c r="B216" s="104"/>
      <c r="C216" s="243"/>
      <c r="D216" s="243"/>
      <c r="E216" s="243"/>
      <c r="F216" s="243"/>
      <c r="G216" s="243"/>
      <c r="H216" s="243"/>
      <c r="I216" s="243"/>
      <c r="J216" s="243"/>
      <c r="K216" s="243"/>
      <c r="L216" s="243"/>
      <c r="M216" s="243"/>
      <c r="N216" s="243"/>
      <c r="O216" s="243"/>
      <c r="P216" s="243"/>
      <c r="Q216" s="243"/>
      <c r="R216" s="243"/>
      <c r="S216" s="243"/>
      <c r="T216" s="243"/>
      <c r="U216" s="243"/>
      <c r="V216" s="243"/>
      <c r="W216" s="243"/>
      <c r="X216" s="243"/>
      <c r="Y216" s="243"/>
      <c r="Z216" s="243"/>
      <c r="AA216" s="243"/>
      <c r="AB216" s="243"/>
      <c r="AC216" s="105"/>
      <c r="AD216" s="105"/>
      <c r="AE216" s="105"/>
      <c r="AF216" s="105"/>
      <c r="AG216" s="105"/>
      <c r="AH216" s="105"/>
      <c r="AI216" s="105"/>
      <c r="AJ216" s="105"/>
      <c r="AK216" s="105"/>
      <c r="AL216" s="105"/>
      <c r="AM216" s="105"/>
      <c r="AN216" s="105"/>
      <c r="AO216" s="105"/>
      <c r="AP216" s="105"/>
      <c r="AQ216" s="105"/>
      <c r="AR216" s="105"/>
      <c r="AS216" s="105"/>
      <c r="AT216" s="105"/>
      <c r="AU216" s="105"/>
      <c r="AV216" s="105"/>
      <c r="AW216" s="105"/>
      <c r="AX216" s="105"/>
      <c r="AY216" s="105"/>
      <c r="AZ216" s="105"/>
      <c r="BA216" s="105"/>
      <c r="BB216" s="105"/>
      <c r="BC216" s="105"/>
      <c r="BD216" s="105"/>
      <c r="BE216" s="105"/>
      <c r="BF216" s="105"/>
      <c r="BG216" s="105"/>
      <c r="BH216" s="105"/>
      <c r="BI216" s="105"/>
      <c r="BJ216" s="105"/>
      <c r="BK216" s="105"/>
      <c r="BL216" s="105"/>
      <c r="BM216" s="105"/>
      <c r="BN216" s="105"/>
      <c r="BO216" s="105"/>
      <c r="BP216" s="105"/>
      <c r="BQ216" s="105"/>
      <c r="BR216" s="105"/>
      <c r="BS216" s="105"/>
      <c r="BT216" s="105"/>
      <c r="BU216" s="105"/>
      <c r="BV216" s="105"/>
      <c r="BW216" s="105"/>
      <c r="BX216" s="105"/>
      <c r="BY216" s="105"/>
      <c r="BZ216" s="105"/>
      <c r="CA216" s="105"/>
      <c r="CB216" s="105"/>
      <c r="CC216" s="105"/>
      <c r="CD216" s="105"/>
      <c r="CE216" s="105"/>
      <c r="CF216" s="105"/>
      <c r="CG216" s="105"/>
      <c r="CH216" s="105"/>
      <c r="CI216" s="105"/>
      <c r="CJ216" s="105"/>
      <c r="CK216" s="105"/>
      <c r="CL216" s="105"/>
      <c r="CM216" s="105"/>
      <c r="CN216" s="105"/>
      <c r="CO216" s="105"/>
      <c r="CP216" s="105"/>
      <c r="CQ216" s="105"/>
      <c r="CR216" s="105"/>
      <c r="CS216" s="105"/>
      <c r="CT216" s="105"/>
      <c r="CU216" s="105"/>
      <c r="CV216" s="105"/>
      <c r="CW216" s="105"/>
      <c r="CX216" s="105"/>
      <c r="CY216" s="105"/>
      <c r="CZ216" s="104"/>
      <c r="DA216" s="105"/>
      <c r="DB216" s="105"/>
      <c r="DC216" s="105"/>
      <c r="DD216" s="105"/>
      <c r="DE216" s="105"/>
      <c r="DF216" s="105"/>
      <c r="DG216" s="105"/>
      <c r="DH216" s="105"/>
      <c r="DI216" s="105"/>
      <c r="DJ216" s="105"/>
      <c r="DK216" s="104"/>
      <c r="DL216" s="104"/>
    </row>
    <row r="217" ht="12.0" customHeight="1">
      <c r="A217" s="104"/>
      <c r="B217" s="104"/>
      <c r="C217" s="243"/>
      <c r="D217" s="243"/>
      <c r="E217" s="243"/>
      <c r="F217" s="243"/>
      <c r="G217" s="243"/>
      <c r="H217" s="243"/>
      <c r="I217" s="243"/>
      <c r="J217" s="243"/>
      <c r="K217" s="243"/>
      <c r="L217" s="243"/>
      <c r="M217" s="243"/>
      <c r="N217" s="243"/>
      <c r="O217" s="243"/>
      <c r="P217" s="243"/>
      <c r="Q217" s="243"/>
      <c r="R217" s="243"/>
      <c r="S217" s="243"/>
      <c r="T217" s="243"/>
      <c r="U217" s="243"/>
      <c r="V217" s="243"/>
      <c r="W217" s="243"/>
      <c r="X217" s="243"/>
      <c r="Y217" s="243"/>
      <c r="Z217" s="243"/>
      <c r="AA217" s="243"/>
      <c r="AB217" s="243"/>
      <c r="AC217" s="105"/>
      <c r="AD217" s="105"/>
      <c r="AE217" s="105"/>
      <c r="AF217" s="105"/>
      <c r="AG217" s="105"/>
      <c r="AH217" s="105"/>
      <c r="AI217" s="105"/>
      <c r="AJ217" s="105"/>
      <c r="AK217" s="105"/>
      <c r="AL217" s="105"/>
      <c r="AM217" s="105"/>
      <c r="AN217" s="105"/>
      <c r="AO217" s="105"/>
      <c r="AP217" s="105"/>
      <c r="AQ217" s="105"/>
      <c r="AR217" s="105"/>
      <c r="AS217" s="105"/>
      <c r="AT217" s="105"/>
      <c r="AU217" s="105"/>
      <c r="AV217" s="105"/>
      <c r="AW217" s="105"/>
      <c r="AX217" s="105"/>
      <c r="AY217" s="105"/>
      <c r="AZ217" s="105"/>
      <c r="BA217" s="105"/>
      <c r="BB217" s="105"/>
      <c r="BC217" s="105"/>
      <c r="BD217" s="105"/>
      <c r="BE217" s="105"/>
      <c r="BF217" s="105"/>
      <c r="BG217" s="105"/>
      <c r="BH217" s="105"/>
      <c r="BI217" s="105"/>
      <c r="BJ217" s="105"/>
      <c r="BK217" s="105"/>
      <c r="BL217" s="105"/>
      <c r="BM217" s="105"/>
      <c r="BN217" s="105"/>
      <c r="BO217" s="105"/>
      <c r="BP217" s="105"/>
      <c r="BQ217" s="105"/>
      <c r="BR217" s="105"/>
      <c r="BS217" s="105"/>
      <c r="BT217" s="105"/>
      <c r="BU217" s="105"/>
      <c r="BV217" s="105"/>
      <c r="BW217" s="105"/>
      <c r="BX217" s="105"/>
      <c r="BY217" s="105"/>
      <c r="BZ217" s="105"/>
      <c r="CA217" s="105"/>
      <c r="CB217" s="105"/>
      <c r="CC217" s="105"/>
      <c r="CD217" s="105"/>
      <c r="CE217" s="105"/>
      <c r="CF217" s="105"/>
      <c r="CG217" s="105"/>
      <c r="CH217" s="105"/>
      <c r="CI217" s="105"/>
      <c r="CJ217" s="105"/>
      <c r="CK217" s="105"/>
      <c r="CL217" s="105"/>
      <c r="CM217" s="105"/>
      <c r="CN217" s="105"/>
      <c r="CO217" s="105"/>
      <c r="CP217" s="105"/>
      <c r="CQ217" s="105"/>
      <c r="CR217" s="105"/>
      <c r="CS217" s="105"/>
      <c r="CT217" s="105"/>
      <c r="CU217" s="105"/>
      <c r="CV217" s="105"/>
      <c r="CW217" s="105"/>
      <c r="CX217" s="105"/>
      <c r="CY217" s="105"/>
      <c r="CZ217" s="104"/>
      <c r="DA217" s="105"/>
      <c r="DB217" s="105"/>
      <c r="DC217" s="105"/>
      <c r="DD217" s="105"/>
      <c r="DE217" s="105"/>
      <c r="DF217" s="105"/>
      <c r="DG217" s="105"/>
      <c r="DH217" s="105"/>
      <c r="DI217" s="105"/>
      <c r="DJ217" s="105"/>
      <c r="DK217" s="104"/>
      <c r="DL217" s="104"/>
    </row>
    <row r="218" ht="12.0" customHeight="1">
      <c r="A218" s="104"/>
      <c r="B218" s="104"/>
      <c r="C218" s="243"/>
      <c r="D218" s="243"/>
      <c r="E218" s="243"/>
      <c r="F218" s="243"/>
      <c r="G218" s="243"/>
      <c r="H218" s="243"/>
      <c r="I218" s="243"/>
      <c r="J218" s="243"/>
      <c r="K218" s="243"/>
      <c r="L218" s="243"/>
      <c r="M218" s="243"/>
      <c r="N218" s="243"/>
      <c r="O218" s="243"/>
      <c r="P218" s="243"/>
      <c r="Q218" s="243"/>
      <c r="R218" s="243"/>
      <c r="S218" s="243"/>
      <c r="T218" s="243"/>
      <c r="U218" s="243"/>
      <c r="V218" s="243"/>
      <c r="W218" s="243"/>
      <c r="X218" s="243"/>
      <c r="Y218" s="243"/>
      <c r="Z218" s="243"/>
      <c r="AA218" s="243"/>
      <c r="AB218" s="243"/>
      <c r="AC218" s="105"/>
      <c r="AD218" s="105"/>
      <c r="AE218" s="105"/>
      <c r="AF218" s="105"/>
      <c r="AG218" s="105"/>
      <c r="AH218" s="105"/>
      <c r="AI218" s="105"/>
      <c r="AJ218" s="105"/>
      <c r="AK218" s="105"/>
      <c r="AL218" s="105"/>
      <c r="AM218" s="105"/>
      <c r="AN218" s="105"/>
      <c r="AO218" s="105"/>
      <c r="AP218" s="105"/>
      <c r="AQ218" s="105"/>
      <c r="AR218" s="105"/>
      <c r="AS218" s="105"/>
      <c r="AT218" s="105"/>
      <c r="AU218" s="105"/>
      <c r="AV218" s="105"/>
      <c r="AW218" s="105"/>
      <c r="AX218" s="105"/>
      <c r="AY218" s="105"/>
      <c r="AZ218" s="105"/>
      <c r="BA218" s="105"/>
      <c r="BB218" s="105"/>
      <c r="BC218" s="105"/>
      <c r="BD218" s="105"/>
      <c r="BE218" s="105"/>
      <c r="BF218" s="105"/>
      <c r="BG218" s="105"/>
      <c r="BH218" s="105"/>
      <c r="BI218" s="105"/>
      <c r="BJ218" s="105"/>
      <c r="BK218" s="105"/>
      <c r="BL218" s="105"/>
      <c r="BM218" s="105"/>
      <c r="BN218" s="105"/>
      <c r="BO218" s="105"/>
      <c r="BP218" s="105"/>
      <c r="BQ218" s="105"/>
      <c r="BR218" s="105"/>
      <c r="BS218" s="105"/>
      <c r="BT218" s="105"/>
      <c r="BU218" s="105"/>
      <c r="BV218" s="105"/>
      <c r="BW218" s="105"/>
      <c r="BX218" s="105"/>
      <c r="BY218" s="105"/>
      <c r="BZ218" s="105"/>
      <c r="CA218" s="105"/>
      <c r="CB218" s="105"/>
      <c r="CC218" s="105"/>
      <c r="CD218" s="105"/>
      <c r="CE218" s="105"/>
      <c r="CF218" s="105"/>
      <c r="CG218" s="105"/>
      <c r="CH218" s="105"/>
      <c r="CI218" s="105"/>
      <c r="CJ218" s="105"/>
      <c r="CK218" s="105"/>
      <c r="CL218" s="105"/>
      <c r="CM218" s="105"/>
      <c r="CN218" s="105"/>
      <c r="CO218" s="105"/>
      <c r="CP218" s="105"/>
      <c r="CQ218" s="105"/>
      <c r="CR218" s="105"/>
      <c r="CS218" s="105"/>
      <c r="CT218" s="105"/>
      <c r="CU218" s="105"/>
      <c r="CV218" s="105"/>
      <c r="CW218" s="105"/>
      <c r="CX218" s="105"/>
      <c r="CY218" s="105"/>
      <c r="CZ218" s="104"/>
      <c r="DA218" s="105"/>
      <c r="DB218" s="105"/>
      <c r="DC218" s="105"/>
      <c r="DD218" s="105"/>
      <c r="DE218" s="105"/>
      <c r="DF218" s="105"/>
      <c r="DG218" s="105"/>
      <c r="DH218" s="105"/>
      <c r="DI218" s="105"/>
      <c r="DJ218" s="105"/>
      <c r="DK218" s="104"/>
      <c r="DL218" s="104"/>
    </row>
    <row r="219" ht="12.0" customHeight="1">
      <c r="A219" s="104"/>
      <c r="B219" s="104"/>
      <c r="C219" s="243"/>
      <c r="D219" s="243"/>
      <c r="E219" s="243"/>
      <c r="F219" s="243"/>
      <c r="G219" s="243"/>
      <c r="H219" s="243"/>
      <c r="I219" s="243"/>
      <c r="J219" s="243"/>
      <c r="K219" s="243"/>
      <c r="L219" s="243"/>
      <c r="M219" s="243"/>
      <c r="N219" s="243"/>
      <c r="O219" s="243"/>
      <c r="P219" s="243"/>
      <c r="Q219" s="243"/>
      <c r="R219" s="243"/>
      <c r="S219" s="243"/>
      <c r="T219" s="243"/>
      <c r="U219" s="243"/>
      <c r="V219" s="243"/>
      <c r="W219" s="243"/>
      <c r="X219" s="243"/>
      <c r="Y219" s="243"/>
      <c r="Z219" s="243"/>
      <c r="AA219" s="243"/>
      <c r="AB219" s="243"/>
      <c r="AC219" s="105"/>
      <c r="AD219" s="105"/>
      <c r="AE219" s="105"/>
      <c r="AF219" s="105"/>
      <c r="AG219" s="105"/>
      <c r="AH219" s="105"/>
      <c r="AI219" s="105"/>
      <c r="AJ219" s="105"/>
      <c r="AK219" s="105"/>
      <c r="AL219" s="105"/>
      <c r="AM219" s="105"/>
      <c r="AN219" s="105"/>
      <c r="AO219" s="105"/>
      <c r="AP219" s="105"/>
      <c r="AQ219" s="105"/>
      <c r="AR219" s="105"/>
      <c r="AS219" s="105"/>
      <c r="AT219" s="105"/>
      <c r="AU219" s="105"/>
      <c r="AV219" s="105"/>
      <c r="AW219" s="105"/>
      <c r="AX219" s="105"/>
      <c r="AY219" s="105"/>
      <c r="AZ219" s="105"/>
      <c r="BA219" s="105"/>
      <c r="BB219" s="105"/>
      <c r="BC219" s="105"/>
      <c r="BD219" s="105"/>
      <c r="BE219" s="105"/>
      <c r="BF219" s="105"/>
      <c r="BG219" s="105"/>
      <c r="BH219" s="105"/>
      <c r="BI219" s="105"/>
      <c r="BJ219" s="105"/>
      <c r="BK219" s="105"/>
      <c r="BL219" s="105"/>
      <c r="BM219" s="105"/>
      <c r="BN219" s="105"/>
      <c r="BO219" s="105"/>
      <c r="BP219" s="105"/>
      <c r="BQ219" s="105"/>
      <c r="BR219" s="105"/>
      <c r="BS219" s="105"/>
      <c r="BT219" s="105"/>
      <c r="BU219" s="105"/>
      <c r="BV219" s="105"/>
      <c r="BW219" s="105"/>
      <c r="BX219" s="105"/>
      <c r="BY219" s="105"/>
      <c r="BZ219" s="105"/>
      <c r="CA219" s="105"/>
      <c r="CB219" s="105"/>
      <c r="CC219" s="105"/>
      <c r="CD219" s="105"/>
      <c r="CE219" s="105"/>
      <c r="CF219" s="105"/>
      <c r="CG219" s="105"/>
      <c r="CH219" s="105"/>
      <c r="CI219" s="105"/>
      <c r="CJ219" s="105"/>
      <c r="CK219" s="105"/>
      <c r="CL219" s="105"/>
      <c r="CM219" s="105"/>
      <c r="CN219" s="105"/>
      <c r="CO219" s="105"/>
      <c r="CP219" s="105"/>
      <c r="CQ219" s="105"/>
      <c r="CR219" s="105"/>
      <c r="CS219" s="105"/>
      <c r="CT219" s="105"/>
      <c r="CU219" s="105"/>
      <c r="CV219" s="105"/>
      <c r="CW219" s="105"/>
      <c r="CX219" s="105"/>
      <c r="CY219" s="105"/>
      <c r="CZ219" s="104"/>
      <c r="DA219" s="105"/>
      <c r="DB219" s="105"/>
      <c r="DC219" s="105"/>
      <c r="DD219" s="105"/>
      <c r="DE219" s="105"/>
      <c r="DF219" s="105"/>
      <c r="DG219" s="105"/>
      <c r="DH219" s="105"/>
      <c r="DI219" s="105"/>
      <c r="DJ219" s="105"/>
      <c r="DK219" s="104"/>
      <c r="DL219" s="104"/>
    </row>
    <row r="220" ht="12.0" customHeight="1">
      <c r="A220" s="104"/>
      <c r="B220" s="104"/>
      <c r="C220" s="243"/>
      <c r="D220" s="243"/>
      <c r="E220" s="243"/>
      <c r="F220" s="243"/>
      <c r="G220" s="243"/>
      <c r="H220" s="243"/>
      <c r="I220" s="243"/>
      <c r="J220" s="243"/>
      <c r="K220" s="243"/>
      <c r="L220" s="243"/>
      <c r="M220" s="243"/>
      <c r="N220" s="243"/>
      <c r="O220" s="243"/>
      <c r="P220" s="243"/>
      <c r="Q220" s="243"/>
      <c r="R220" s="243"/>
      <c r="S220" s="243"/>
      <c r="T220" s="243"/>
      <c r="U220" s="243"/>
      <c r="V220" s="243"/>
      <c r="W220" s="243"/>
      <c r="X220" s="243"/>
      <c r="Y220" s="243"/>
      <c r="Z220" s="243"/>
      <c r="AA220" s="243"/>
      <c r="AB220" s="243"/>
      <c r="AC220" s="105"/>
      <c r="AD220" s="105"/>
      <c r="AE220" s="105"/>
      <c r="AF220" s="105"/>
      <c r="AG220" s="105"/>
      <c r="AH220" s="105"/>
      <c r="AI220" s="105"/>
      <c r="AJ220" s="105"/>
      <c r="AK220" s="105"/>
      <c r="AL220" s="105"/>
      <c r="AM220" s="105"/>
      <c r="AN220" s="105"/>
      <c r="AO220" s="105"/>
      <c r="AP220" s="105"/>
      <c r="AQ220" s="105"/>
      <c r="AR220" s="105"/>
      <c r="AS220" s="105"/>
      <c r="AT220" s="105"/>
      <c r="AU220" s="105"/>
      <c r="AV220" s="105"/>
      <c r="AW220" s="105"/>
      <c r="AX220" s="105"/>
      <c r="AY220" s="105"/>
      <c r="AZ220" s="105"/>
      <c r="BA220" s="105"/>
      <c r="BB220" s="105"/>
      <c r="BC220" s="105"/>
      <c r="BD220" s="105"/>
      <c r="BE220" s="105"/>
      <c r="BF220" s="105"/>
      <c r="BG220" s="105"/>
      <c r="BH220" s="105"/>
      <c r="BI220" s="105"/>
      <c r="BJ220" s="105"/>
      <c r="BK220" s="105"/>
      <c r="BL220" s="105"/>
      <c r="BM220" s="105"/>
      <c r="BN220" s="105"/>
      <c r="BO220" s="105"/>
      <c r="BP220" s="105"/>
      <c r="BQ220" s="105"/>
      <c r="BR220" s="105"/>
      <c r="BS220" s="105"/>
      <c r="BT220" s="105"/>
      <c r="BU220" s="105"/>
      <c r="BV220" s="105"/>
      <c r="BW220" s="105"/>
      <c r="BX220" s="105"/>
      <c r="BY220" s="105"/>
      <c r="BZ220" s="105"/>
      <c r="CA220" s="105"/>
      <c r="CB220" s="105"/>
      <c r="CC220" s="105"/>
      <c r="CD220" s="105"/>
      <c r="CE220" s="105"/>
      <c r="CF220" s="105"/>
      <c r="CG220" s="105"/>
      <c r="CH220" s="105"/>
      <c r="CI220" s="105"/>
      <c r="CJ220" s="105"/>
      <c r="CK220" s="105"/>
      <c r="CL220" s="105"/>
      <c r="CM220" s="105"/>
      <c r="CN220" s="105"/>
      <c r="CO220" s="105"/>
      <c r="CP220" s="105"/>
      <c r="CQ220" s="105"/>
      <c r="CR220" s="105"/>
      <c r="CS220" s="105"/>
      <c r="CT220" s="105"/>
      <c r="CU220" s="105"/>
      <c r="CV220" s="105"/>
      <c r="CW220" s="105"/>
      <c r="CX220" s="105"/>
      <c r="CY220" s="105"/>
      <c r="CZ220" s="104"/>
      <c r="DA220" s="105"/>
      <c r="DB220" s="105"/>
      <c r="DC220" s="105"/>
      <c r="DD220" s="105"/>
      <c r="DE220" s="105"/>
      <c r="DF220" s="105"/>
      <c r="DG220" s="105"/>
      <c r="DH220" s="105"/>
      <c r="DI220" s="105"/>
      <c r="DJ220" s="105"/>
      <c r="DK220" s="104"/>
      <c r="DL220" s="104"/>
    </row>
    <row r="221" ht="12.0" customHeight="1">
      <c r="A221" s="104"/>
      <c r="B221" s="104"/>
      <c r="C221" s="243"/>
      <c r="D221" s="243"/>
      <c r="E221" s="243"/>
      <c r="F221" s="243"/>
      <c r="G221" s="243"/>
      <c r="H221" s="243"/>
      <c r="I221" s="243"/>
      <c r="J221" s="243"/>
      <c r="K221" s="243"/>
      <c r="L221" s="243"/>
      <c r="M221" s="243"/>
      <c r="N221" s="243"/>
      <c r="O221" s="243"/>
      <c r="P221" s="243"/>
      <c r="Q221" s="243"/>
      <c r="R221" s="243"/>
      <c r="S221" s="243"/>
      <c r="T221" s="243"/>
      <c r="U221" s="243"/>
      <c r="V221" s="243"/>
      <c r="W221" s="243"/>
      <c r="X221" s="243"/>
      <c r="Y221" s="243"/>
      <c r="Z221" s="243"/>
      <c r="AA221" s="243"/>
      <c r="AB221" s="243"/>
      <c r="AC221" s="105"/>
      <c r="AD221" s="105"/>
      <c r="AE221" s="105"/>
      <c r="AF221" s="105"/>
      <c r="AG221" s="105"/>
      <c r="AH221" s="105"/>
      <c r="AI221" s="105"/>
      <c r="AJ221" s="105"/>
      <c r="AK221" s="105"/>
      <c r="AL221" s="105"/>
      <c r="AM221" s="105"/>
      <c r="AN221" s="105"/>
      <c r="AO221" s="105"/>
      <c r="AP221" s="105"/>
      <c r="AQ221" s="105"/>
      <c r="AR221" s="105"/>
      <c r="AS221" s="105"/>
      <c r="AT221" s="105"/>
      <c r="AU221" s="105"/>
      <c r="AV221" s="105"/>
      <c r="AW221" s="105"/>
      <c r="AX221" s="105"/>
      <c r="AY221" s="105"/>
      <c r="AZ221" s="105"/>
      <c r="BA221" s="105"/>
      <c r="BB221" s="105"/>
      <c r="BC221" s="105"/>
      <c r="BD221" s="105"/>
      <c r="BE221" s="105"/>
      <c r="BF221" s="105"/>
      <c r="BG221" s="105"/>
      <c r="BH221" s="105"/>
      <c r="BI221" s="105"/>
      <c r="BJ221" s="105"/>
      <c r="BK221" s="105"/>
      <c r="BL221" s="105"/>
      <c r="BM221" s="105"/>
      <c r="BN221" s="105"/>
      <c r="BO221" s="105"/>
      <c r="BP221" s="105"/>
      <c r="BQ221" s="105"/>
      <c r="BR221" s="105"/>
      <c r="BS221" s="105"/>
      <c r="BT221" s="105"/>
      <c r="BU221" s="105"/>
      <c r="BV221" s="105"/>
      <c r="BW221" s="105"/>
      <c r="BX221" s="105"/>
      <c r="BY221" s="105"/>
      <c r="BZ221" s="105"/>
      <c r="CA221" s="105"/>
      <c r="CB221" s="105"/>
      <c r="CC221" s="105"/>
      <c r="CD221" s="105"/>
      <c r="CE221" s="105"/>
      <c r="CF221" s="105"/>
      <c r="CG221" s="105"/>
      <c r="CH221" s="105"/>
      <c r="CI221" s="105"/>
      <c r="CJ221" s="105"/>
      <c r="CK221" s="105"/>
      <c r="CL221" s="105"/>
      <c r="CM221" s="105"/>
      <c r="CN221" s="105"/>
      <c r="CO221" s="105"/>
      <c r="CP221" s="105"/>
      <c r="CQ221" s="105"/>
      <c r="CR221" s="105"/>
      <c r="CS221" s="105"/>
      <c r="CT221" s="105"/>
      <c r="CU221" s="105"/>
      <c r="CV221" s="105"/>
      <c r="CW221" s="105"/>
      <c r="CX221" s="105"/>
      <c r="CY221" s="105"/>
      <c r="CZ221" s="104"/>
      <c r="DA221" s="105"/>
      <c r="DB221" s="105"/>
      <c r="DC221" s="105"/>
      <c r="DD221" s="105"/>
      <c r="DE221" s="105"/>
      <c r="DF221" s="105"/>
      <c r="DG221" s="105"/>
      <c r="DH221" s="105"/>
      <c r="DI221" s="105"/>
      <c r="DJ221" s="105"/>
      <c r="DK221" s="104"/>
      <c r="DL221" s="104"/>
    </row>
    <row r="222" ht="12.0" customHeight="1">
      <c r="A222" s="104"/>
      <c r="B222" s="104"/>
      <c r="C222" s="243"/>
      <c r="D222" s="243"/>
      <c r="E222" s="243"/>
      <c r="F222" s="243"/>
      <c r="G222" s="243"/>
      <c r="H222" s="243"/>
      <c r="I222" s="243"/>
      <c r="J222" s="243"/>
      <c r="K222" s="243"/>
      <c r="L222" s="243"/>
      <c r="M222" s="243"/>
      <c r="N222" s="243"/>
      <c r="O222" s="243"/>
      <c r="P222" s="243"/>
      <c r="Q222" s="243"/>
      <c r="R222" s="243"/>
      <c r="S222" s="243"/>
      <c r="T222" s="243"/>
      <c r="U222" s="243"/>
      <c r="V222" s="243"/>
      <c r="W222" s="243"/>
      <c r="X222" s="243"/>
      <c r="Y222" s="243"/>
      <c r="Z222" s="243"/>
      <c r="AA222" s="243"/>
      <c r="AB222" s="243"/>
      <c r="AC222" s="105"/>
      <c r="AD222" s="105"/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/>
      <c r="AO222" s="105"/>
      <c r="AP222" s="105"/>
      <c r="AQ222" s="105"/>
      <c r="AR222" s="105"/>
      <c r="AS222" s="105"/>
      <c r="AT222" s="105"/>
      <c r="AU222" s="105"/>
      <c r="AV222" s="105"/>
      <c r="AW222" s="105"/>
      <c r="AX222" s="105"/>
      <c r="AY222" s="105"/>
      <c r="AZ222" s="105"/>
      <c r="BA222" s="105"/>
      <c r="BB222" s="105"/>
      <c r="BC222" s="105"/>
      <c r="BD222" s="105"/>
      <c r="BE222" s="105"/>
      <c r="BF222" s="105"/>
      <c r="BG222" s="105"/>
      <c r="BH222" s="105"/>
      <c r="BI222" s="105"/>
      <c r="BJ222" s="105"/>
      <c r="BK222" s="105"/>
      <c r="BL222" s="105"/>
      <c r="BM222" s="105"/>
      <c r="BN222" s="105"/>
      <c r="BO222" s="105"/>
      <c r="BP222" s="105"/>
      <c r="BQ222" s="105"/>
      <c r="BR222" s="105"/>
      <c r="BS222" s="105"/>
      <c r="BT222" s="105"/>
      <c r="BU222" s="105"/>
      <c r="BV222" s="105"/>
      <c r="BW222" s="105"/>
      <c r="BX222" s="105"/>
      <c r="BY222" s="105"/>
      <c r="BZ222" s="105"/>
      <c r="CA222" s="105"/>
      <c r="CB222" s="105"/>
      <c r="CC222" s="105"/>
      <c r="CD222" s="105"/>
      <c r="CE222" s="105"/>
      <c r="CF222" s="105"/>
      <c r="CG222" s="105"/>
      <c r="CH222" s="105"/>
      <c r="CI222" s="105"/>
      <c r="CJ222" s="105"/>
      <c r="CK222" s="105"/>
      <c r="CL222" s="105"/>
      <c r="CM222" s="105"/>
      <c r="CN222" s="105"/>
      <c r="CO222" s="105"/>
      <c r="CP222" s="105"/>
      <c r="CQ222" s="105"/>
      <c r="CR222" s="105"/>
      <c r="CS222" s="105"/>
      <c r="CT222" s="105"/>
      <c r="CU222" s="105"/>
      <c r="CV222" s="105"/>
      <c r="CW222" s="105"/>
      <c r="CX222" s="105"/>
      <c r="CY222" s="105"/>
      <c r="CZ222" s="104"/>
      <c r="DA222" s="105"/>
      <c r="DB222" s="105"/>
      <c r="DC222" s="105"/>
      <c r="DD222" s="105"/>
      <c r="DE222" s="105"/>
      <c r="DF222" s="105"/>
      <c r="DG222" s="105"/>
      <c r="DH222" s="105"/>
      <c r="DI222" s="105"/>
      <c r="DJ222" s="105"/>
      <c r="DK222" s="104"/>
      <c r="DL222" s="104"/>
    </row>
    <row r="223" ht="12.0" customHeight="1">
      <c r="A223" s="104"/>
      <c r="B223" s="104"/>
      <c r="C223" s="243"/>
      <c r="D223" s="243"/>
      <c r="E223" s="243"/>
      <c r="F223" s="243"/>
      <c r="G223" s="243"/>
      <c r="H223" s="243"/>
      <c r="I223" s="243"/>
      <c r="J223" s="243"/>
      <c r="K223" s="243"/>
      <c r="L223" s="243"/>
      <c r="M223" s="243"/>
      <c r="N223" s="243"/>
      <c r="O223" s="243"/>
      <c r="P223" s="243"/>
      <c r="Q223" s="243"/>
      <c r="R223" s="243"/>
      <c r="S223" s="243"/>
      <c r="T223" s="243"/>
      <c r="U223" s="243"/>
      <c r="V223" s="243"/>
      <c r="W223" s="243"/>
      <c r="X223" s="243"/>
      <c r="Y223" s="243"/>
      <c r="Z223" s="243"/>
      <c r="AA223" s="243"/>
      <c r="AB223" s="243"/>
      <c r="AC223" s="105"/>
      <c r="AD223" s="105"/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/>
      <c r="AO223" s="105"/>
      <c r="AP223" s="105"/>
      <c r="AQ223" s="105"/>
      <c r="AR223" s="105"/>
      <c r="AS223" s="105"/>
      <c r="AT223" s="105"/>
      <c r="AU223" s="105"/>
      <c r="AV223" s="105"/>
      <c r="AW223" s="105"/>
      <c r="AX223" s="105"/>
      <c r="AY223" s="105"/>
      <c r="AZ223" s="105"/>
      <c r="BA223" s="105"/>
      <c r="BB223" s="105"/>
      <c r="BC223" s="105"/>
      <c r="BD223" s="105"/>
      <c r="BE223" s="105"/>
      <c r="BF223" s="105"/>
      <c r="BG223" s="105"/>
      <c r="BH223" s="105"/>
      <c r="BI223" s="105"/>
      <c r="BJ223" s="105"/>
      <c r="BK223" s="105"/>
      <c r="BL223" s="105"/>
      <c r="BM223" s="105"/>
      <c r="BN223" s="105"/>
      <c r="BO223" s="105"/>
      <c r="BP223" s="105"/>
      <c r="BQ223" s="105"/>
      <c r="BR223" s="105"/>
      <c r="BS223" s="105"/>
      <c r="BT223" s="105"/>
      <c r="BU223" s="105"/>
      <c r="BV223" s="105"/>
      <c r="BW223" s="105"/>
      <c r="BX223" s="105"/>
      <c r="BY223" s="105"/>
      <c r="BZ223" s="105"/>
      <c r="CA223" s="105"/>
      <c r="CB223" s="105"/>
      <c r="CC223" s="105"/>
      <c r="CD223" s="105"/>
      <c r="CE223" s="105"/>
      <c r="CF223" s="105"/>
      <c r="CG223" s="105"/>
      <c r="CH223" s="105"/>
      <c r="CI223" s="105"/>
      <c r="CJ223" s="105"/>
      <c r="CK223" s="105"/>
      <c r="CL223" s="105"/>
      <c r="CM223" s="105"/>
      <c r="CN223" s="105"/>
      <c r="CO223" s="105"/>
      <c r="CP223" s="105"/>
      <c r="CQ223" s="105"/>
      <c r="CR223" s="105"/>
      <c r="CS223" s="105"/>
      <c r="CT223" s="105"/>
      <c r="CU223" s="105"/>
      <c r="CV223" s="105"/>
      <c r="CW223" s="105"/>
      <c r="CX223" s="105"/>
      <c r="CY223" s="105"/>
      <c r="CZ223" s="104"/>
      <c r="DA223" s="105"/>
      <c r="DB223" s="105"/>
      <c r="DC223" s="105"/>
      <c r="DD223" s="105"/>
      <c r="DE223" s="105"/>
      <c r="DF223" s="105"/>
      <c r="DG223" s="105"/>
      <c r="DH223" s="105"/>
      <c r="DI223" s="105"/>
      <c r="DJ223" s="105"/>
      <c r="DK223" s="104"/>
      <c r="DL223" s="104"/>
    </row>
    <row r="224" ht="12.0" customHeight="1">
      <c r="A224" s="104"/>
      <c r="B224" s="104"/>
      <c r="C224" s="243"/>
      <c r="D224" s="243"/>
      <c r="E224" s="243"/>
      <c r="F224" s="243"/>
      <c r="G224" s="243"/>
      <c r="H224" s="243"/>
      <c r="I224" s="243"/>
      <c r="J224" s="243"/>
      <c r="K224" s="243"/>
      <c r="L224" s="243"/>
      <c r="M224" s="243"/>
      <c r="N224" s="243"/>
      <c r="O224" s="243"/>
      <c r="P224" s="243"/>
      <c r="Q224" s="243"/>
      <c r="R224" s="243"/>
      <c r="S224" s="243"/>
      <c r="T224" s="243"/>
      <c r="U224" s="243"/>
      <c r="V224" s="243"/>
      <c r="W224" s="243"/>
      <c r="X224" s="243"/>
      <c r="Y224" s="243"/>
      <c r="Z224" s="243"/>
      <c r="AA224" s="243"/>
      <c r="AB224" s="243"/>
      <c r="AC224" s="105"/>
      <c r="AD224" s="105"/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/>
      <c r="AO224" s="105"/>
      <c r="AP224" s="105"/>
      <c r="AQ224" s="105"/>
      <c r="AR224" s="105"/>
      <c r="AS224" s="105"/>
      <c r="AT224" s="105"/>
      <c r="AU224" s="105"/>
      <c r="AV224" s="105"/>
      <c r="AW224" s="105"/>
      <c r="AX224" s="105"/>
      <c r="AY224" s="105"/>
      <c r="AZ224" s="105"/>
      <c r="BA224" s="105"/>
      <c r="BB224" s="105"/>
      <c r="BC224" s="105"/>
      <c r="BD224" s="105"/>
      <c r="BE224" s="105"/>
      <c r="BF224" s="105"/>
      <c r="BG224" s="105"/>
      <c r="BH224" s="105"/>
      <c r="BI224" s="105"/>
      <c r="BJ224" s="105"/>
      <c r="BK224" s="105"/>
      <c r="BL224" s="105"/>
      <c r="BM224" s="105"/>
      <c r="BN224" s="105"/>
      <c r="BO224" s="105"/>
      <c r="BP224" s="105"/>
      <c r="BQ224" s="105"/>
      <c r="BR224" s="105"/>
      <c r="BS224" s="105"/>
      <c r="BT224" s="105"/>
      <c r="BU224" s="105"/>
      <c r="BV224" s="105"/>
      <c r="BW224" s="105"/>
      <c r="BX224" s="105"/>
      <c r="BY224" s="105"/>
      <c r="BZ224" s="105"/>
      <c r="CA224" s="105"/>
      <c r="CB224" s="105"/>
      <c r="CC224" s="105"/>
      <c r="CD224" s="105"/>
      <c r="CE224" s="105"/>
      <c r="CF224" s="105"/>
      <c r="CG224" s="105"/>
      <c r="CH224" s="105"/>
      <c r="CI224" s="105"/>
      <c r="CJ224" s="105"/>
      <c r="CK224" s="105"/>
      <c r="CL224" s="105"/>
      <c r="CM224" s="105"/>
      <c r="CN224" s="105"/>
      <c r="CO224" s="105"/>
      <c r="CP224" s="105"/>
      <c r="CQ224" s="105"/>
      <c r="CR224" s="105"/>
      <c r="CS224" s="105"/>
      <c r="CT224" s="105"/>
      <c r="CU224" s="105"/>
      <c r="CV224" s="105"/>
      <c r="CW224" s="105"/>
      <c r="CX224" s="105"/>
      <c r="CY224" s="105"/>
      <c r="CZ224" s="104"/>
      <c r="DA224" s="105"/>
      <c r="DB224" s="105"/>
      <c r="DC224" s="105"/>
      <c r="DD224" s="105"/>
      <c r="DE224" s="105"/>
      <c r="DF224" s="105"/>
      <c r="DG224" s="105"/>
      <c r="DH224" s="105"/>
      <c r="DI224" s="105"/>
      <c r="DJ224" s="105"/>
      <c r="DK224" s="104"/>
      <c r="DL224" s="104"/>
    </row>
    <row r="225" ht="12.0" customHeight="1">
      <c r="A225" s="104"/>
      <c r="B225" s="104"/>
      <c r="C225" s="243"/>
      <c r="D225" s="243"/>
      <c r="E225" s="243"/>
      <c r="F225" s="243"/>
      <c r="G225" s="243"/>
      <c r="H225" s="243"/>
      <c r="I225" s="243"/>
      <c r="J225" s="243"/>
      <c r="K225" s="243"/>
      <c r="L225" s="243"/>
      <c r="M225" s="243"/>
      <c r="N225" s="243"/>
      <c r="O225" s="243"/>
      <c r="P225" s="243"/>
      <c r="Q225" s="243"/>
      <c r="R225" s="243"/>
      <c r="S225" s="243"/>
      <c r="T225" s="243"/>
      <c r="U225" s="243"/>
      <c r="V225" s="243"/>
      <c r="W225" s="243"/>
      <c r="X225" s="243"/>
      <c r="Y225" s="243"/>
      <c r="Z225" s="243"/>
      <c r="AA225" s="243"/>
      <c r="AB225" s="243"/>
      <c r="AC225" s="105"/>
      <c r="AD225" s="105"/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/>
      <c r="AO225" s="105"/>
      <c r="AP225" s="105"/>
      <c r="AQ225" s="105"/>
      <c r="AR225" s="105"/>
      <c r="AS225" s="105"/>
      <c r="AT225" s="105"/>
      <c r="AU225" s="105"/>
      <c r="AV225" s="105"/>
      <c r="AW225" s="105"/>
      <c r="AX225" s="105"/>
      <c r="AY225" s="105"/>
      <c r="AZ225" s="105"/>
      <c r="BA225" s="105"/>
      <c r="BB225" s="105"/>
      <c r="BC225" s="105"/>
      <c r="BD225" s="105"/>
      <c r="BE225" s="105"/>
      <c r="BF225" s="105"/>
      <c r="BG225" s="105"/>
      <c r="BH225" s="105"/>
      <c r="BI225" s="105"/>
      <c r="BJ225" s="105"/>
      <c r="BK225" s="105"/>
      <c r="BL225" s="105"/>
      <c r="BM225" s="105"/>
      <c r="BN225" s="105"/>
      <c r="BO225" s="105"/>
      <c r="BP225" s="105"/>
      <c r="BQ225" s="105"/>
      <c r="BR225" s="105"/>
      <c r="BS225" s="105"/>
      <c r="BT225" s="105"/>
      <c r="BU225" s="105"/>
      <c r="BV225" s="105"/>
      <c r="BW225" s="105"/>
      <c r="BX225" s="105"/>
      <c r="BY225" s="105"/>
      <c r="BZ225" s="105"/>
      <c r="CA225" s="105"/>
      <c r="CB225" s="105"/>
      <c r="CC225" s="105"/>
      <c r="CD225" s="105"/>
      <c r="CE225" s="105"/>
      <c r="CF225" s="105"/>
      <c r="CG225" s="105"/>
      <c r="CH225" s="105"/>
      <c r="CI225" s="105"/>
      <c r="CJ225" s="105"/>
      <c r="CK225" s="105"/>
      <c r="CL225" s="105"/>
      <c r="CM225" s="105"/>
      <c r="CN225" s="105"/>
      <c r="CO225" s="105"/>
      <c r="CP225" s="105"/>
      <c r="CQ225" s="105"/>
      <c r="CR225" s="105"/>
      <c r="CS225" s="105"/>
      <c r="CT225" s="105"/>
      <c r="CU225" s="105"/>
      <c r="CV225" s="105"/>
      <c r="CW225" s="105"/>
      <c r="CX225" s="105"/>
      <c r="CY225" s="105"/>
      <c r="CZ225" s="104"/>
      <c r="DA225" s="105"/>
      <c r="DB225" s="105"/>
      <c r="DC225" s="105"/>
      <c r="DD225" s="105"/>
      <c r="DE225" s="105"/>
      <c r="DF225" s="105"/>
      <c r="DG225" s="105"/>
      <c r="DH225" s="105"/>
      <c r="DI225" s="105"/>
      <c r="DJ225" s="105"/>
      <c r="DK225" s="104"/>
      <c r="DL225" s="104"/>
    </row>
    <row r="226" ht="12.0" customHeight="1">
      <c r="A226" s="104"/>
      <c r="B226" s="104"/>
      <c r="C226" s="243"/>
      <c r="D226" s="243"/>
      <c r="E226" s="243"/>
      <c r="F226" s="243"/>
      <c r="G226" s="243"/>
      <c r="H226" s="243"/>
      <c r="I226" s="243"/>
      <c r="J226" s="243"/>
      <c r="K226" s="243"/>
      <c r="L226" s="243"/>
      <c r="M226" s="243"/>
      <c r="N226" s="243"/>
      <c r="O226" s="243"/>
      <c r="P226" s="243"/>
      <c r="Q226" s="243"/>
      <c r="R226" s="243"/>
      <c r="S226" s="243"/>
      <c r="T226" s="243"/>
      <c r="U226" s="243"/>
      <c r="V226" s="243"/>
      <c r="W226" s="243"/>
      <c r="X226" s="243"/>
      <c r="Y226" s="243"/>
      <c r="Z226" s="243"/>
      <c r="AA226" s="243"/>
      <c r="AB226" s="243"/>
      <c r="AC226" s="105"/>
      <c r="AD226" s="105"/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/>
      <c r="AO226" s="105"/>
      <c r="AP226" s="105"/>
      <c r="AQ226" s="105"/>
      <c r="AR226" s="105"/>
      <c r="AS226" s="105"/>
      <c r="AT226" s="105"/>
      <c r="AU226" s="105"/>
      <c r="AV226" s="105"/>
      <c r="AW226" s="105"/>
      <c r="AX226" s="105"/>
      <c r="AY226" s="105"/>
      <c r="AZ226" s="105"/>
      <c r="BA226" s="105"/>
      <c r="BB226" s="105"/>
      <c r="BC226" s="105"/>
      <c r="BD226" s="105"/>
      <c r="BE226" s="105"/>
      <c r="BF226" s="105"/>
      <c r="BG226" s="105"/>
      <c r="BH226" s="105"/>
      <c r="BI226" s="105"/>
      <c r="BJ226" s="105"/>
      <c r="BK226" s="105"/>
      <c r="BL226" s="105"/>
      <c r="BM226" s="105"/>
      <c r="BN226" s="105"/>
      <c r="BO226" s="105"/>
      <c r="BP226" s="105"/>
      <c r="BQ226" s="105"/>
      <c r="BR226" s="105"/>
      <c r="BS226" s="105"/>
      <c r="BT226" s="105"/>
      <c r="BU226" s="105"/>
      <c r="BV226" s="105"/>
      <c r="BW226" s="105"/>
      <c r="BX226" s="105"/>
      <c r="BY226" s="105"/>
      <c r="BZ226" s="105"/>
      <c r="CA226" s="105"/>
      <c r="CB226" s="105"/>
      <c r="CC226" s="105"/>
      <c r="CD226" s="105"/>
      <c r="CE226" s="105"/>
      <c r="CF226" s="105"/>
      <c r="CG226" s="105"/>
      <c r="CH226" s="105"/>
      <c r="CI226" s="105"/>
      <c r="CJ226" s="105"/>
      <c r="CK226" s="105"/>
      <c r="CL226" s="105"/>
      <c r="CM226" s="105"/>
      <c r="CN226" s="105"/>
      <c r="CO226" s="105"/>
      <c r="CP226" s="105"/>
      <c r="CQ226" s="105"/>
      <c r="CR226" s="105"/>
      <c r="CS226" s="105"/>
      <c r="CT226" s="105"/>
      <c r="CU226" s="105"/>
      <c r="CV226" s="105"/>
      <c r="CW226" s="105"/>
      <c r="CX226" s="105"/>
      <c r="CY226" s="105"/>
      <c r="CZ226" s="104"/>
      <c r="DA226" s="105"/>
      <c r="DB226" s="105"/>
      <c r="DC226" s="105"/>
      <c r="DD226" s="105"/>
      <c r="DE226" s="105"/>
      <c r="DF226" s="105"/>
      <c r="DG226" s="105"/>
      <c r="DH226" s="105"/>
      <c r="DI226" s="105"/>
      <c r="DJ226" s="105"/>
      <c r="DK226" s="104"/>
      <c r="DL226" s="104"/>
    </row>
    <row r="227" ht="12.0" customHeight="1">
      <c r="A227" s="104"/>
      <c r="B227" s="104"/>
      <c r="C227" s="243"/>
      <c r="D227" s="243"/>
      <c r="E227" s="243"/>
      <c r="F227" s="243"/>
      <c r="G227" s="243"/>
      <c r="H227" s="243"/>
      <c r="I227" s="243"/>
      <c r="J227" s="243"/>
      <c r="K227" s="243"/>
      <c r="L227" s="243"/>
      <c r="M227" s="243"/>
      <c r="N227" s="243"/>
      <c r="O227" s="243"/>
      <c r="P227" s="243"/>
      <c r="Q227" s="243"/>
      <c r="R227" s="243"/>
      <c r="S227" s="243"/>
      <c r="T227" s="243"/>
      <c r="U227" s="243"/>
      <c r="V227" s="243"/>
      <c r="W227" s="243"/>
      <c r="X227" s="243"/>
      <c r="Y227" s="243"/>
      <c r="Z227" s="243"/>
      <c r="AA227" s="243"/>
      <c r="AB227" s="243"/>
      <c r="AC227" s="105"/>
      <c r="AD227" s="105"/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/>
      <c r="AO227" s="105"/>
      <c r="AP227" s="105"/>
      <c r="AQ227" s="105"/>
      <c r="AR227" s="105"/>
      <c r="AS227" s="105"/>
      <c r="AT227" s="105"/>
      <c r="AU227" s="105"/>
      <c r="AV227" s="105"/>
      <c r="AW227" s="105"/>
      <c r="AX227" s="105"/>
      <c r="AY227" s="105"/>
      <c r="AZ227" s="105"/>
      <c r="BA227" s="105"/>
      <c r="BB227" s="105"/>
      <c r="BC227" s="105"/>
      <c r="BD227" s="105"/>
      <c r="BE227" s="105"/>
      <c r="BF227" s="105"/>
      <c r="BG227" s="105"/>
      <c r="BH227" s="105"/>
      <c r="BI227" s="105"/>
      <c r="BJ227" s="105"/>
      <c r="BK227" s="105"/>
      <c r="BL227" s="105"/>
      <c r="BM227" s="105"/>
      <c r="BN227" s="105"/>
      <c r="BO227" s="105"/>
      <c r="BP227" s="105"/>
      <c r="BQ227" s="105"/>
      <c r="BR227" s="105"/>
      <c r="BS227" s="105"/>
      <c r="BT227" s="105"/>
      <c r="BU227" s="105"/>
      <c r="BV227" s="105"/>
      <c r="BW227" s="105"/>
      <c r="BX227" s="105"/>
      <c r="BY227" s="105"/>
      <c r="BZ227" s="105"/>
      <c r="CA227" s="105"/>
      <c r="CB227" s="105"/>
      <c r="CC227" s="105"/>
      <c r="CD227" s="105"/>
      <c r="CE227" s="105"/>
      <c r="CF227" s="105"/>
      <c r="CG227" s="105"/>
      <c r="CH227" s="105"/>
      <c r="CI227" s="105"/>
      <c r="CJ227" s="105"/>
      <c r="CK227" s="105"/>
      <c r="CL227" s="105"/>
      <c r="CM227" s="105"/>
      <c r="CN227" s="105"/>
      <c r="CO227" s="105"/>
      <c r="CP227" s="105"/>
      <c r="CQ227" s="105"/>
      <c r="CR227" s="105"/>
      <c r="CS227" s="105"/>
      <c r="CT227" s="105"/>
      <c r="CU227" s="105"/>
      <c r="CV227" s="105"/>
      <c r="CW227" s="105"/>
      <c r="CX227" s="105"/>
      <c r="CY227" s="105"/>
      <c r="CZ227" s="104"/>
      <c r="DA227" s="105"/>
      <c r="DB227" s="105"/>
      <c r="DC227" s="105"/>
      <c r="DD227" s="105"/>
      <c r="DE227" s="105"/>
      <c r="DF227" s="105"/>
      <c r="DG227" s="105"/>
      <c r="DH227" s="105"/>
      <c r="DI227" s="105"/>
      <c r="DJ227" s="105"/>
      <c r="DK227" s="104"/>
      <c r="DL227" s="104"/>
    </row>
    <row r="228" ht="12.0" customHeight="1">
      <c r="A228" s="104"/>
      <c r="B228" s="104"/>
      <c r="C228" s="243"/>
      <c r="D228" s="243"/>
      <c r="E228" s="243"/>
      <c r="F228" s="243"/>
      <c r="G228" s="243"/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3"/>
      <c r="S228" s="243"/>
      <c r="T228" s="243"/>
      <c r="U228" s="243"/>
      <c r="V228" s="243"/>
      <c r="W228" s="243"/>
      <c r="X228" s="243"/>
      <c r="Y228" s="243"/>
      <c r="Z228" s="243"/>
      <c r="AA228" s="243"/>
      <c r="AB228" s="243"/>
      <c r="AC228" s="105"/>
      <c r="AD228" s="105"/>
      <c r="AE228" s="105"/>
      <c r="AF228" s="105"/>
      <c r="AG228" s="105"/>
      <c r="AH228" s="105"/>
      <c r="AI228" s="105"/>
      <c r="AJ228" s="105"/>
      <c r="AK228" s="105"/>
      <c r="AL228" s="105"/>
      <c r="AM228" s="105"/>
      <c r="AN228" s="105"/>
      <c r="AO228" s="105"/>
      <c r="AP228" s="105"/>
      <c r="AQ228" s="105"/>
      <c r="AR228" s="105"/>
      <c r="AS228" s="105"/>
      <c r="AT228" s="105"/>
      <c r="AU228" s="105"/>
      <c r="AV228" s="105"/>
      <c r="AW228" s="105"/>
      <c r="AX228" s="105"/>
      <c r="AY228" s="105"/>
      <c r="AZ228" s="105"/>
      <c r="BA228" s="105"/>
      <c r="BB228" s="105"/>
      <c r="BC228" s="105"/>
      <c r="BD228" s="105"/>
      <c r="BE228" s="105"/>
      <c r="BF228" s="105"/>
      <c r="BG228" s="105"/>
      <c r="BH228" s="105"/>
      <c r="BI228" s="105"/>
      <c r="BJ228" s="105"/>
      <c r="BK228" s="105"/>
      <c r="BL228" s="105"/>
      <c r="BM228" s="105"/>
      <c r="BN228" s="105"/>
      <c r="BO228" s="105"/>
      <c r="BP228" s="105"/>
      <c r="BQ228" s="105"/>
      <c r="BR228" s="105"/>
      <c r="BS228" s="105"/>
      <c r="BT228" s="105"/>
      <c r="BU228" s="105"/>
      <c r="BV228" s="105"/>
      <c r="BW228" s="105"/>
      <c r="BX228" s="105"/>
      <c r="BY228" s="105"/>
      <c r="BZ228" s="105"/>
      <c r="CA228" s="105"/>
      <c r="CB228" s="105"/>
      <c r="CC228" s="105"/>
      <c r="CD228" s="105"/>
      <c r="CE228" s="105"/>
      <c r="CF228" s="105"/>
      <c r="CG228" s="105"/>
      <c r="CH228" s="105"/>
      <c r="CI228" s="105"/>
      <c r="CJ228" s="105"/>
      <c r="CK228" s="105"/>
      <c r="CL228" s="105"/>
      <c r="CM228" s="105"/>
      <c r="CN228" s="105"/>
      <c r="CO228" s="105"/>
      <c r="CP228" s="105"/>
      <c r="CQ228" s="105"/>
      <c r="CR228" s="105"/>
      <c r="CS228" s="105"/>
      <c r="CT228" s="105"/>
      <c r="CU228" s="105"/>
      <c r="CV228" s="105"/>
      <c r="CW228" s="105"/>
      <c r="CX228" s="105"/>
      <c r="CY228" s="105"/>
      <c r="CZ228" s="104"/>
      <c r="DA228" s="105"/>
      <c r="DB228" s="105"/>
      <c r="DC228" s="105"/>
      <c r="DD228" s="105"/>
      <c r="DE228" s="105"/>
      <c r="DF228" s="105"/>
      <c r="DG228" s="105"/>
      <c r="DH228" s="105"/>
      <c r="DI228" s="105"/>
      <c r="DJ228" s="105"/>
      <c r="DK228" s="104"/>
      <c r="DL228" s="104"/>
    </row>
    <row r="229" ht="12.0" customHeight="1">
      <c r="A229" s="104"/>
      <c r="B229" s="104"/>
      <c r="C229" s="243"/>
      <c r="D229" s="243"/>
      <c r="E229" s="243"/>
      <c r="F229" s="243"/>
      <c r="G229" s="243"/>
      <c r="H229" s="243"/>
      <c r="I229" s="243"/>
      <c r="J229" s="243"/>
      <c r="K229" s="243"/>
      <c r="L229" s="243"/>
      <c r="M229" s="243"/>
      <c r="N229" s="243"/>
      <c r="O229" s="243"/>
      <c r="P229" s="243"/>
      <c r="Q229" s="243"/>
      <c r="R229" s="243"/>
      <c r="S229" s="243"/>
      <c r="T229" s="243"/>
      <c r="U229" s="243"/>
      <c r="V229" s="243"/>
      <c r="W229" s="243"/>
      <c r="X229" s="243"/>
      <c r="Y229" s="243"/>
      <c r="Z229" s="243"/>
      <c r="AA229" s="243"/>
      <c r="AB229" s="243"/>
      <c r="AC229" s="105"/>
      <c r="AD229" s="105"/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/>
      <c r="AO229" s="105"/>
      <c r="AP229" s="105"/>
      <c r="AQ229" s="105"/>
      <c r="AR229" s="105"/>
      <c r="AS229" s="105"/>
      <c r="AT229" s="105"/>
      <c r="AU229" s="105"/>
      <c r="AV229" s="105"/>
      <c r="AW229" s="105"/>
      <c r="AX229" s="105"/>
      <c r="AY229" s="105"/>
      <c r="AZ229" s="105"/>
      <c r="BA229" s="105"/>
      <c r="BB229" s="105"/>
      <c r="BC229" s="105"/>
      <c r="BD229" s="105"/>
      <c r="BE229" s="105"/>
      <c r="BF229" s="105"/>
      <c r="BG229" s="105"/>
      <c r="BH229" s="105"/>
      <c r="BI229" s="105"/>
      <c r="BJ229" s="105"/>
      <c r="BK229" s="105"/>
      <c r="BL229" s="105"/>
      <c r="BM229" s="105"/>
      <c r="BN229" s="105"/>
      <c r="BO229" s="105"/>
      <c r="BP229" s="105"/>
      <c r="BQ229" s="105"/>
      <c r="BR229" s="105"/>
      <c r="BS229" s="105"/>
      <c r="BT229" s="105"/>
      <c r="BU229" s="105"/>
      <c r="BV229" s="105"/>
      <c r="BW229" s="105"/>
      <c r="BX229" s="105"/>
      <c r="BY229" s="105"/>
      <c r="BZ229" s="105"/>
      <c r="CA229" s="105"/>
      <c r="CB229" s="105"/>
      <c r="CC229" s="105"/>
      <c r="CD229" s="105"/>
      <c r="CE229" s="105"/>
      <c r="CF229" s="105"/>
      <c r="CG229" s="105"/>
      <c r="CH229" s="105"/>
      <c r="CI229" s="105"/>
      <c r="CJ229" s="105"/>
      <c r="CK229" s="105"/>
      <c r="CL229" s="105"/>
      <c r="CM229" s="105"/>
      <c r="CN229" s="105"/>
      <c r="CO229" s="105"/>
      <c r="CP229" s="105"/>
      <c r="CQ229" s="105"/>
      <c r="CR229" s="105"/>
      <c r="CS229" s="105"/>
      <c r="CT229" s="105"/>
      <c r="CU229" s="105"/>
      <c r="CV229" s="105"/>
      <c r="CW229" s="105"/>
      <c r="CX229" s="105"/>
      <c r="CY229" s="105"/>
      <c r="CZ229" s="104"/>
      <c r="DA229" s="105"/>
      <c r="DB229" s="105"/>
      <c r="DC229" s="105"/>
      <c r="DD229" s="105"/>
      <c r="DE229" s="105"/>
      <c r="DF229" s="105"/>
      <c r="DG229" s="105"/>
      <c r="DH229" s="105"/>
      <c r="DI229" s="105"/>
      <c r="DJ229" s="105"/>
      <c r="DK229" s="104"/>
      <c r="DL229" s="104"/>
    </row>
    <row r="230" ht="12.0" customHeight="1">
      <c r="A230" s="104"/>
      <c r="B230" s="104"/>
      <c r="C230" s="243"/>
      <c r="D230" s="243"/>
      <c r="E230" s="243"/>
      <c r="F230" s="243"/>
      <c r="G230" s="243"/>
      <c r="H230" s="243"/>
      <c r="I230" s="243"/>
      <c r="J230" s="243"/>
      <c r="K230" s="243"/>
      <c r="L230" s="243"/>
      <c r="M230" s="243"/>
      <c r="N230" s="243"/>
      <c r="O230" s="243"/>
      <c r="P230" s="243"/>
      <c r="Q230" s="243"/>
      <c r="R230" s="243"/>
      <c r="S230" s="243"/>
      <c r="T230" s="243"/>
      <c r="U230" s="243"/>
      <c r="V230" s="243"/>
      <c r="W230" s="243"/>
      <c r="X230" s="243"/>
      <c r="Y230" s="243"/>
      <c r="Z230" s="243"/>
      <c r="AA230" s="243"/>
      <c r="AB230" s="243"/>
      <c r="AC230" s="105"/>
      <c r="AD230" s="105"/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/>
      <c r="AO230" s="105"/>
      <c r="AP230" s="105"/>
      <c r="AQ230" s="105"/>
      <c r="AR230" s="105"/>
      <c r="AS230" s="105"/>
      <c r="AT230" s="105"/>
      <c r="AU230" s="105"/>
      <c r="AV230" s="105"/>
      <c r="AW230" s="105"/>
      <c r="AX230" s="105"/>
      <c r="AY230" s="105"/>
      <c r="AZ230" s="105"/>
      <c r="BA230" s="105"/>
      <c r="BB230" s="105"/>
      <c r="BC230" s="105"/>
      <c r="BD230" s="105"/>
      <c r="BE230" s="105"/>
      <c r="BF230" s="105"/>
      <c r="BG230" s="105"/>
      <c r="BH230" s="105"/>
      <c r="BI230" s="105"/>
      <c r="BJ230" s="105"/>
      <c r="BK230" s="105"/>
      <c r="BL230" s="105"/>
      <c r="BM230" s="105"/>
      <c r="BN230" s="105"/>
      <c r="BO230" s="105"/>
      <c r="BP230" s="105"/>
      <c r="BQ230" s="105"/>
      <c r="BR230" s="105"/>
      <c r="BS230" s="105"/>
      <c r="BT230" s="105"/>
      <c r="BU230" s="105"/>
      <c r="BV230" s="105"/>
      <c r="BW230" s="105"/>
      <c r="BX230" s="105"/>
      <c r="BY230" s="105"/>
      <c r="BZ230" s="105"/>
      <c r="CA230" s="105"/>
      <c r="CB230" s="105"/>
      <c r="CC230" s="105"/>
      <c r="CD230" s="105"/>
      <c r="CE230" s="105"/>
      <c r="CF230" s="105"/>
      <c r="CG230" s="105"/>
      <c r="CH230" s="105"/>
      <c r="CI230" s="105"/>
      <c r="CJ230" s="105"/>
      <c r="CK230" s="105"/>
      <c r="CL230" s="105"/>
      <c r="CM230" s="105"/>
      <c r="CN230" s="105"/>
      <c r="CO230" s="105"/>
      <c r="CP230" s="105"/>
      <c r="CQ230" s="105"/>
      <c r="CR230" s="105"/>
      <c r="CS230" s="105"/>
      <c r="CT230" s="105"/>
      <c r="CU230" s="105"/>
      <c r="CV230" s="105"/>
      <c r="CW230" s="105"/>
      <c r="CX230" s="105"/>
      <c r="CY230" s="105"/>
      <c r="CZ230" s="104"/>
      <c r="DA230" s="105"/>
      <c r="DB230" s="105"/>
      <c r="DC230" s="105"/>
      <c r="DD230" s="105"/>
      <c r="DE230" s="105"/>
      <c r="DF230" s="105"/>
      <c r="DG230" s="105"/>
      <c r="DH230" s="105"/>
      <c r="DI230" s="105"/>
      <c r="DJ230" s="105"/>
      <c r="DK230" s="104"/>
      <c r="DL230" s="104"/>
    </row>
    <row r="231" ht="12.0" customHeight="1">
      <c r="A231" s="104"/>
      <c r="B231" s="104"/>
      <c r="C231" s="243"/>
      <c r="D231" s="243"/>
      <c r="E231" s="243"/>
      <c r="F231" s="243"/>
      <c r="G231" s="243"/>
      <c r="H231" s="243"/>
      <c r="I231" s="243"/>
      <c r="J231" s="243"/>
      <c r="K231" s="243"/>
      <c r="L231" s="243"/>
      <c r="M231" s="243"/>
      <c r="N231" s="243"/>
      <c r="O231" s="243"/>
      <c r="P231" s="243"/>
      <c r="Q231" s="243"/>
      <c r="R231" s="243"/>
      <c r="S231" s="243"/>
      <c r="T231" s="243"/>
      <c r="U231" s="243"/>
      <c r="V231" s="243"/>
      <c r="W231" s="243"/>
      <c r="X231" s="243"/>
      <c r="Y231" s="243"/>
      <c r="Z231" s="243"/>
      <c r="AA231" s="243"/>
      <c r="AB231" s="243"/>
      <c r="AC231" s="105"/>
      <c r="AD231" s="105"/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/>
      <c r="AO231" s="105"/>
      <c r="AP231" s="105"/>
      <c r="AQ231" s="105"/>
      <c r="AR231" s="105"/>
      <c r="AS231" s="105"/>
      <c r="AT231" s="105"/>
      <c r="AU231" s="105"/>
      <c r="AV231" s="105"/>
      <c r="AW231" s="105"/>
      <c r="AX231" s="105"/>
      <c r="AY231" s="105"/>
      <c r="AZ231" s="105"/>
      <c r="BA231" s="105"/>
      <c r="BB231" s="105"/>
      <c r="BC231" s="105"/>
      <c r="BD231" s="105"/>
      <c r="BE231" s="105"/>
      <c r="BF231" s="105"/>
      <c r="BG231" s="105"/>
      <c r="BH231" s="105"/>
      <c r="BI231" s="105"/>
      <c r="BJ231" s="105"/>
      <c r="BK231" s="105"/>
      <c r="BL231" s="105"/>
      <c r="BM231" s="105"/>
      <c r="BN231" s="105"/>
      <c r="BO231" s="105"/>
      <c r="BP231" s="105"/>
      <c r="BQ231" s="105"/>
      <c r="BR231" s="105"/>
      <c r="BS231" s="105"/>
      <c r="BT231" s="105"/>
      <c r="BU231" s="105"/>
      <c r="BV231" s="105"/>
      <c r="BW231" s="105"/>
      <c r="BX231" s="105"/>
      <c r="BY231" s="105"/>
      <c r="BZ231" s="105"/>
      <c r="CA231" s="105"/>
      <c r="CB231" s="105"/>
      <c r="CC231" s="105"/>
      <c r="CD231" s="105"/>
      <c r="CE231" s="105"/>
      <c r="CF231" s="105"/>
      <c r="CG231" s="105"/>
      <c r="CH231" s="105"/>
      <c r="CI231" s="105"/>
      <c r="CJ231" s="105"/>
      <c r="CK231" s="105"/>
      <c r="CL231" s="105"/>
      <c r="CM231" s="105"/>
      <c r="CN231" s="105"/>
      <c r="CO231" s="105"/>
      <c r="CP231" s="105"/>
      <c r="CQ231" s="105"/>
      <c r="CR231" s="105"/>
      <c r="CS231" s="105"/>
      <c r="CT231" s="105"/>
      <c r="CU231" s="105"/>
      <c r="CV231" s="105"/>
      <c r="CW231" s="105"/>
      <c r="CX231" s="105"/>
      <c r="CY231" s="105"/>
      <c r="CZ231" s="104"/>
      <c r="DA231" s="105"/>
      <c r="DB231" s="105"/>
      <c r="DC231" s="105"/>
      <c r="DD231" s="105"/>
      <c r="DE231" s="105"/>
      <c r="DF231" s="105"/>
      <c r="DG231" s="105"/>
      <c r="DH231" s="105"/>
      <c r="DI231" s="105"/>
      <c r="DJ231" s="105"/>
      <c r="DK231" s="104"/>
      <c r="DL231" s="104"/>
    </row>
    <row r="232" ht="12.0" customHeight="1">
      <c r="A232" s="104"/>
      <c r="B232" s="104"/>
      <c r="C232" s="243"/>
      <c r="D232" s="243"/>
      <c r="E232" s="243"/>
      <c r="F232" s="243"/>
      <c r="G232" s="243"/>
      <c r="H232" s="243"/>
      <c r="I232" s="243"/>
      <c r="J232" s="243"/>
      <c r="K232" s="243"/>
      <c r="L232" s="243"/>
      <c r="M232" s="243"/>
      <c r="N232" s="243"/>
      <c r="O232" s="243"/>
      <c r="P232" s="243"/>
      <c r="Q232" s="243"/>
      <c r="R232" s="243"/>
      <c r="S232" s="243"/>
      <c r="T232" s="243"/>
      <c r="U232" s="243"/>
      <c r="V232" s="243"/>
      <c r="W232" s="243"/>
      <c r="X232" s="243"/>
      <c r="Y232" s="243"/>
      <c r="Z232" s="243"/>
      <c r="AA232" s="243"/>
      <c r="AB232" s="243"/>
      <c r="AC232" s="105"/>
      <c r="AD232" s="105"/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/>
      <c r="AO232" s="105"/>
      <c r="AP232" s="105"/>
      <c r="AQ232" s="105"/>
      <c r="AR232" s="105"/>
      <c r="AS232" s="105"/>
      <c r="AT232" s="105"/>
      <c r="AU232" s="105"/>
      <c r="AV232" s="105"/>
      <c r="AW232" s="105"/>
      <c r="AX232" s="105"/>
      <c r="AY232" s="105"/>
      <c r="AZ232" s="105"/>
      <c r="BA232" s="105"/>
      <c r="BB232" s="105"/>
      <c r="BC232" s="105"/>
      <c r="BD232" s="105"/>
      <c r="BE232" s="105"/>
      <c r="BF232" s="105"/>
      <c r="BG232" s="105"/>
      <c r="BH232" s="105"/>
      <c r="BI232" s="105"/>
      <c r="BJ232" s="105"/>
      <c r="BK232" s="105"/>
      <c r="BL232" s="105"/>
      <c r="BM232" s="105"/>
      <c r="BN232" s="105"/>
      <c r="BO232" s="105"/>
      <c r="BP232" s="105"/>
      <c r="BQ232" s="105"/>
      <c r="BR232" s="105"/>
      <c r="BS232" s="105"/>
      <c r="BT232" s="105"/>
      <c r="BU232" s="105"/>
      <c r="BV232" s="105"/>
      <c r="BW232" s="105"/>
      <c r="BX232" s="105"/>
      <c r="BY232" s="105"/>
      <c r="BZ232" s="105"/>
      <c r="CA232" s="105"/>
      <c r="CB232" s="105"/>
      <c r="CC232" s="105"/>
      <c r="CD232" s="105"/>
      <c r="CE232" s="105"/>
      <c r="CF232" s="105"/>
      <c r="CG232" s="105"/>
      <c r="CH232" s="105"/>
      <c r="CI232" s="105"/>
      <c r="CJ232" s="105"/>
      <c r="CK232" s="105"/>
      <c r="CL232" s="105"/>
      <c r="CM232" s="105"/>
      <c r="CN232" s="105"/>
      <c r="CO232" s="105"/>
      <c r="CP232" s="105"/>
      <c r="CQ232" s="105"/>
      <c r="CR232" s="105"/>
      <c r="CS232" s="105"/>
      <c r="CT232" s="105"/>
      <c r="CU232" s="105"/>
      <c r="CV232" s="105"/>
      <c r="CW232" s="105"/>
      <c r="CX232" s="105"/>
      <c r="CY232" s="105"/>
      <c r="CZ232" s="104"/>
      <c r="DA232" s="105"/>
      <c r="DB232" s="105"/>
      <c r="DC232" s="105"/>
      <c r="DD232" s="105"/>
      <c r="DE232" s="105"/>
      <c r="DF232" s="105"/>
      <c r="DG232" s="105"/>
      <c r="DH232" s="105"/>
      <c r="DI232" s="105"/>
      <c r="DJ232" s="105"/>
      <c r="DK232" s="104"/>
      <c r="DL232" s="104"/>
    </row>
    <row r="233" ht="12.0" customHeight="1">
      <c r="A233" s="104"/>
      <c r="B233" s="104"/>
      <c r="C233" s="243"/>
      <c r="D233" s="243"/>
      <c r="E233" s="243"/>
      <c r="F233" s="243"/>
      <c r="G233" s="243"/>
      <c r="H233" s="243"/>
      <c r="I233" s="243"/>
      <c r="J233" s="243"/>
      <c r="K233" s="243"/>
      <c r="L233" s="243"/>
      <c r="M233" s="243"/>
      <c r="N233" s="243"/>
      <c r="O233" s="243"/>
      <c r="P233" s="243"/>
      <c r="Q233" s="243"/>
      <c r="R233" s="243"/>
      <c r="S233" s="243"/>
      <c r="T233" s="243"/>
      <c r="U233" s="243"/>
      <c r="V233" s="243"/>
      <c r="W233" s="243"/>
      <c r="X233" s="243"/>
      <c r="Y233" s="243"/>
      <c r="Z233" s="243"/>
      <c r="AA233" s="243"/>
      <c r="AB233" s="243"/>
      <c r="AC233" s="105"/>
      <c r="AD233" s="105"/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/>
      <c r="AO233" s="105"/>
      <c r="AP233" s="105"/>
      <c r="AQ233" s="105"/>
      <c r="AR233" s="105"/>
      <c r="AS233" s="105"/>
      <c r="AT233" s="105"/>
      <c r="AU233" s="105"/>
      <c r="AV233" s="105"/>
      <c r="AW233" s="105"/>
      <c r="AX233" s="105"/>
      <c r="AY233" s="105"/>
      <c r="AZ233" s="105"/>
      <c r="BA233" s="105"/>
      <c r="BB233" s="105"/>
      <c r="BC233" s="105"/>
      <c r="BD233" s="105"/>
      <c r="BE233" s="105"/>
      <c r="BF233" s="105"/>
      <c r="BG233" s="105"/>
      <c r="BH233" s="105"/>
      <c r="BI233" s="105"/>
      <c r="BJ233" s="105"/>
      <c r="BK233" s="105"/>
      <c r="BL233" s="105"/>
      <c r="BM233" s="105"/>
      <c r="BN233" s="105"/>
      <c r="BO233" s="105"/>
      <c r="BP233" s="105"/>
      <c r="BQ233" s="105"/>
      <c r="BR233" s="105"/>
      <c r="BS233" s="105"/>
      <c r="BT233" s="105"/>
      <c r="BU233" s="105"/>
      <c r="BV233" s="105"/>
      <c r="BW233" s="105"/>
      <c r="BX233" s="105"/>
      <c r="BY233" s="105"/>
      <c r="BZ233" s="105"/>
      <c r="CA233" s="105"/>
      <c r="CB233" s="105"/>
      <c r="CC233" s="105"/>
      <c r="CD233" s="105"/>
      <c r="CE233" s="105"/>
      <c r="CF233" s="105"/>
      <c r="CG233" s="105"/>
      <c r="CH233" s="105"/>
      <c r="CI233" s="105"/>
      <c r="CJ233" s="105"/>
      <c r="CK233" s="105"/>
      <c r="CL233" s="105"/>
      <c r="CM233" s="105"/>
      <c r="CN233" s="105"/>
      <c r="CO233" s="105"/>
      <c r="CP233" s="105"/>
      <c r="CQ233" s="105"/>
      <c r="CR233" s="105"/>
      <c r="CS233" s="105"/>
      <c r="CT233" s="105"/>
      <c r="CU233" s="105"/>
      <c r="CV233" s="105"/>
      <c r="CW233" s="105"/>
      <c r="CX233" s="105"/>
      <c r="CY233" s="105"/>
      <c r="CZ233" s="104"/>
      <c r="DA233" s="105"/>
      <c r="DB233" s="105"/>
      <c r="DC233" s="105"/>
      <c r="DD233" s="105"/>
      <c r="DE233" s="105"/>
      <c r="DF233" s="105"/>
      <c r="DG233" s="105"/>
      <c r="DH233" s="105"/>
      <c r="DI233" s="105"/>
      <c r="DJ233" s="105"/>
      <c r="DK233" s="104"/>
      <c r="DL233" s="104"/>
    </row>
    <row r="234" ht="12.0" customHeight="1">
      <c r="A234" s="104"/>
      <c r="B234" s="104"/>
      <c r="C234" s="243"/>
      <c r="D234" s="243"/>
      <c r="E234" s="243"/>
      <c r="F234" s="243"/>
      <c r="G234" s="243"/>
      <c r="H234" s="243"/>
      <c r="I234" s="243"/>
      <c r="J234" s="243"/>
      <c r="K234" s="243"/>
      <c r="L234" s="243"/>
      <c r="M234" s="243"/>
      <c r="N234" s="243"/>
      <c r="O234" s="243"/>
      <c r="P234" s="243"/>
      <c r="Q234" s="243"/>
      <c r="R234" s="243"/>
      <c r="S234" s="243"/>
      <c r="T234" s="243"/>
      <c r="U234" s="243"/>
      <c r="V234" s="243"/>
      <c r="W234" s="243"/>
      <c r="X234" s="243"/>
      <c r="Y234" s="243"/>
      <c r="Z234" s="243"/>
      <c r="AA234" s="243"/>
      <c r="AB234" s="243"/>
      <c r="AC234" s="105"/>
      <c r="AD234" s="105"/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/>
      <c r="AO234" s="105"/>
      <c r="AP234" s="105"/>
      <c r="AQ234" s="105"/>
      <c r="AR234" s="105"/>
      <c r="AS234" s="105"/>
      <c r="AT234" s="105"/>
      <c r="AU234" s="105"/>
      <c r="AV234" s="105"/>
      <c r="AW234" s="105"/>
      <c r="AX234" s="105"/>
      <c r="AY234" s="105"/>
      <c r="AZ234" s="105"/>
      <c r="BA234" s="105"/>
      <c r="BB234" s="105"/>
      <c r="BC234" s="105"/>
      <c r="BD234" s="105"/>
      <c r="BE234" s="105"/>
      <c r="BF234" s="105"/>
      <c r="BG234" s="105"/>
      <c r="BH234" s="105"/>
      <c r="BI234" s="105"/>
      <c r="BJ234" s="105"/>
      <c r="BK234" s="105"/>
      <c r="BL234" s="105"/>
      <c r="BM234" s="105"/>
      <c r="BN234" s="105"/>
      <c r="BO234" s="105"/>
      <c r="BP234" s="105"/>
      <c r="BQ234" s="105"/>
      <c r="BR234" s="105"/>
      <c r="BS234" s="105"/>
      <c r="BT234" s="105"/>
      <c r="BU234" s="105"/>
      <c r="BV234" s="105"/>
      <c r="BW234" s="105"/>
      <c r="BX234" s="105"/>
      <c r="BY234" s="105"/>
      <c r="BZ234" s="105"/>
      <c r="CA234" s="105"/>
      <c r="CB234" s="105"/>
      <c r="CC234" s="105"/>
      <c r="CD234" s="105"/>
      <c r="CE234" s="105"/>
      <c r="CF234" s="105"/>
      <c r="CG234" s="105"/>
      <c r="CH234" s="105"/>
      <c r="CI234" s="105"/>
      <c r="CJ234" s="105"/>
      <c r="CK234" s="105"/>
      <c r="CL234" s="105"/>
      <c r="CM234" s="105"/>
      <c r="CN234" s="105"/>
      <c r="CO234" s="105"/>
      <c r="CP234" s="105"/>
      <c r="CQ234" s="105"/>
      <c r="CR234" s="105"/>
      <c r="CS234" s="105"/>
      <c r="CT234" s="105"/>
      <c r="CU234" s="105"/>
      <c r="CV234" s="105"/>
      <c r="CW234" s="105"/>
      <c r="CX234" s="105"/>
      <c r="CY234" s="105"/>
      <c r="CZ234" s="104"/>
      <c r="DA234" s="105"/>
      <c r="DB234" s="105"/>
      <c r="DC234" s="105"/>
      <c r="DD234" s="105"/>
      <c r="DE234" s="105"/>
      <c r="DF234" s="105"/>
      <c r="DG234" s="105"/>
      <c r="DH234" s="105"/>
      <c r="DI234" s="105"/>
      <c r="DJ234" s="105"/>
      <c r="DK234" s="104"/>
      <c r="DL234" s="104"/>
    </row>
    <row r="235" ht="12.0" customHeight="1">
      <c r="A235" s="104"/>
      <c r="B235" s="104"/>
      <c r="C235" s="243"/>
      <c r="D235" s="243"/>
      <c r="E235" s="243"/>
      <c r="F235" s="243"/>
      <c r="G235" s="243"/>
      <c r="H235" s="243"/>
      <c r="I235" s="243"/>
      <c r="J235" s="243"/>
      <c r="K235" s="243"/>
      <c r="L235" s="243"/>
      <c r="M235" s="243"/>
      <c r="N235" s="243"/>
      <c r="O235" s="243"/>
      <c r="P235" s="243"/>
      <c r="Q235" s="243"/>
      <c r="R235" s="243"/>
      <c r="S235" s="243"/>
      <c r="T235" s="243"/>
      <c r="U235" s="243"/>
      <c r="V235" s="243"/>
      <c r="W235" s="243"/>
      <c r="X235" s="243"/>
      <c r="Y235" s="243"/>
      <c r="Z235" s="243"/>
      <c r="AA235" s="243"/>
      <c r="AB235" s="243"/>
      <c r="AC235" s="105"/>
      <c r="AD235" s="105"/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/>
      <c r="AO235" s="105"/>
      <c r="AP235" s="105"/>
      <c r="AQ235" s="105"/>
      <c r="AR235" s="105"/>
      <c r="AS235" s="105"/>
      <c r="AT235" s="105"/>
      <c r="AU235" s="105"/>
      <c r="AV235" s="105"/>
      <c r="AW235" s="105"/>
      <c r="AX235" s="105"/>
      <c r="AY235" s="105"/>
      <c r="AZ235" s="105"/>
      <c r="BA235" s="105"/>
      <c r="BB235" s="105"/>
      <c r="BC235" s="105"/>
      <c r="BD235" s="105"/>
      <c r="BE235" s="105"/>
      <c r="BF235" s="105"/>
      <c r="BG235" s="105"/>
      <c r="BH235" s="105"/>
      <c r="BI235" s="105"/>
      <c r="BJ235" s="105"/>
      <c r="BK235" s="105"/>
      <c r="BL235" s="105"/>
      <c r="BM235" s="105"/>
      <c r="BN235" s="105"/>
      <c r="BO235" s="105"/>
      <c r="BP235" s="105"/>
      <c r="BQ235" s="105"/>
      <c r="BR235" s="105"/>
      <c r="BS235" s="105"/>
      <c r="BT235" s="105"/>
      <c r="BU235" s="105"/>
      <c r="BV235" s="105"/>
      <c r="BW235" s="105"/>
      <c r="BX235" s="105"/>
      <c r="BY235" s="105"/>
      <c r="BZ235" s="105"/>
      <c r="CA235" s="105"/>
      <c r="CB235" s="105"/>
      <c r="CC235" s="105"/>
      <c r="CD235" s="105"/>
      <c r="CE235" s="105"/>
      <c r="CF235" s="105"/>
      <c r="CG235" s="105"/>
      <c r="CH235" s="105"/>
      <c r="CI235" s="105"/>
      <c r="CJ235" s="105"/>
      <c r="CK235" s="105"/>
      <c r="CL235" s="105"/>
      <c r="CM235" s="105"/>
      <c r="CN235" s="105"/>
      <c r="CO235" s="105"/>
      <c r="CP235" s="105"/>
      <c r="CQ235" s="105"/>
      <c r="CR235" s="105"/>
      <c r="CS235" s="105"/>
      <c r="CT235" s="105"/>
      <c r="CU235" s="105"/>
      <c r="CV235" s="105"/>
      <c r="CW235" s="105"/>
      <c r="CX235" s="105"/>
      <c r="CY235" s="105"/>
      <c r="CZ235" s="104"/>
      <c r="DA235" s="105"/>
      <c r="DB235" s="105"/>
      <c r="DC235" s="105"/>
      <c r="DD235" s="105"/>
      <c r="DE235" s="105"/>
      <c r="DF235" s="105"/>
      <c r="DG235" s="105"/>
      <c r="DH235" s="105"/>
      <c r="DI235" s="105"/>
      <c r="DJ235" s="105"/>
      <c r="DK235" s="104"/>
      <c r="DL235" s="104"/>
    </row>
    <row r="236" ht="12.0" customHeight="1">
      <c r="A236" s="104"/>
      <c r="B236" s="104"/>
      <c r="C236" s="243"/>
      <c r="D236" s="243"/>
      <c r="E236" s="243"/>
      <c r="F236" s="243"/>
      <c r="G236" s="243"/>
      <c r="H236" s="243"/>
      <c r="I236" s="243"/>
      <c r="J236" s="243"/>
      <c r="K236" s="243"/>
      <c r="L236" s="243"/>
      <c r="M236" s="243"/>
      <c r="N236" s="243"/>
      <c r="O236" s="243"/>
      <c r="P236" s="243"/>
      <c r="Q236" s="243"/>
      <c r="R236" s="243"/>
      <c r="S236" s="243"/>
      <c r="T236" s="243"/>
      <c r="U236" s="243"/>
      <c r="V236" s="243"/>
      <c r="W236" s="243"/>
      <c r="X236" s="243"/>
      <c r="Y236" s="243"/>
      <c r="Z236" s="243"/>
      <c r="AA236" s="243"/>
      <c r="AB236" s="243"/>
      <c r="AC236" s="105"/>
      <c r="AD236" s="105"/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/>
      <c r="AO236" s="105"/>
      <c r="AP236" s="105"/>
      <c r="AQ236" s="105"/>
      <c r="AR236" s="105"/>
      <c r="AS236" s="105"/>
      <c r="AT236" s="105"/>
      <c r="AU236" s="105"/>
      <c r="AV236" s="105"/>
      <c r="AW236" s="105"/>
      <c r="AX236" s="105"/>
      <c r="AY236" s="105"/>
      <c r="AZ236" s="105"/>
      <c r="BA236" s="105"/>
      <c r="BB236" s="105"/>
      <c r="BC236" s="105"/>
      <c r="BD236" s="105"/>
      <c r="BE236" s="105"/>
      <c r="BF236" s="105"/>
      <c r="BG236" s="105"/>
      <c r="BH236" s="105"/>
      <c r="BI236" s="105"/>
      <c r="BJ236" s="105"/>
      <c r="BK236" s="105"/>
      <c r="BL236" s="105"/>
      <c r="BM236" s="105"/>
      <c r="BN236" s="105"/>
      <c r="BO236" s="105"/>
      <c r="BP236" s="105"/>
      <c r="BQ236" s="105"/>
      <c r="BR236" s="105"/>
      <c r="BS236" s="105"/>
      <c r="BT236" s="105"/>
      <c r="BU236" s="105"/>
      <c r="BV236" s="105"/>
      <c r="BW236" s="105"/>
      <c r="BX236" s="105"/>
      <c r="BY236" s="105"/>
      <c r="BZ236" s="105"/>
      <c r="CA236" s="105"/>
      <c r="CB236" s="105"/>
      <c r="CC236" s="105"/>
      <c r="CD236" s="105"/>
      <c r="CE236" s="105"/>
      <c r="CF236" s="105"/>
      <c r="CG236" s="105"/>
      <c r="CH236" s="105"/>
      <c r="CI236" s="105"/>
      <c r="CJ236" s="105"/>
      <c r="CK236" s="105"/>
      <c r="CL236" s="105"/>
      <c r="CM236" s="105"/>
      <c r="CN236" s="105"/>
      <c r="CO236" s="105"/>
      <c r="CP236" s="105"/>
      <c r="CQ236" s="105"/>
      <c r="CR236" s="105"/>
      <c r="CS236" s="105"/>
      <c r="CT236" s="105"/>
      <c r="CU236" s="105"/>
      <c r="CV236" s="105"/>
      <c r="CW236" s="105"/>
      <c r="CX236" s="105"/>
      <c r="CY236" s="105"/>
      <c r="CZ236" s="104"/>
      <c r="DA236" s="105"/>
      <c r="DB236" s="105"/>
      <c r="DC236" s="105"/>
      <c r="DD236" s="105"/>
      <c r="DE236" s="105"/>
      <c r="DF236" s="105"/>
      <c r="DG236" s="105"/>
      <c r="DH236" s="105"/>
      <c r="DI236" s="105"/>
      <c r="DJ236" s="105"/>
      <c r="DK236" s="104"/>
      <c r="DL236" s="104"/>
    </row>
    <row r="237" ht="12.0" customHeight="1">
      <c r="A237" s="104"/>
      <c r="B237" s="104"/>
      <c r="C237" s="243"/>
      <c r="D237" s="243"/>
      <c r="E237" s="243"/>
      <c r="F237" s="243"/>
      <c r="G237" s="243"/>
      <c r="H237" s="243"/>
      <c r="I237" s="243"/>
      <c r="J237" s="243"/>
      <c r="K237" s="243"/>
      <c r="L237" s="243"/>
      <c r="M237" s="243"/>
      <c r="N237" s="243"/>
      <c r="O237" s="243"/>
      <c r="P237" s="243"/>
      <c r="Q237" s="243"/>
      <c r="R237" s="243"/>
      <c r="S237" s="243"/>
      <c r="T237" s="243"/>
      <c r="U237" s="243"/>
      <c r="V237" s="243"/>
      <c r="W237" s="243"/>
      <c r="X237" s="243"/>
      <c r="Y237" s="243"/>
      <c r="Z237" s="243"/>
      <c r="AA237" s="243"/>
      <c r="AB237" s="243"/>
      <c r="AC237" s="105"/>
      <c r="AD237" s="105"/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/>
      <c r="AO237" s="105"/>
      <c r="AP237" s="105"/>
      <c r="AQ237" s="105"/>
      <c r="AR237" s="105"/>
      <c r="AS237" s="105"/>
      <c r="AT237" s="105"/>
      <c r="AU237" s="105"/>
      <c r="AV237" s="105"/>
      <c r="AW237" s="105"/>
      <c r="AX237" s="105"/>
      <c r="AY237" s="105"/>
      <c r="AZ237" s="105"/>
      <c r="BA237" s="105"/>
      <c r="BB237" s="105"/>
      <c r="BC237" s="105"/>
      <c r="BD237" s="105"/>
      <c r="BE237" s="105"/>
      <c r="BF237" s="105"/>
      <c r="BG237" s="105"/>
      <c r="BH237" s="105"/>
      <c r="BI237" s="105"/>
      <c r="BJ237" s="105"/>
      <c r="BK237" s="105"/>
      <c r="BL237" s="105"/>
      <c r="BM237" s="105"/>
      <c r="BN237" s="105"/>
      <c r="BO237" s="105"/>
      <c r="BP237" s="105"/>
      <c r="BQ237" s="105"/>
      <c r="BR237" s="105"/>
      <c r="BS237" s="105"/>
      <c r="BT237" s="105"/>
      <c r="BU237" s="105"/>
      <c r="BV237" s="105"/>
      <c r="BW237" s="105"/>
      <c r="BX237" s="105"/>
      <c r="BY237" s="105"/>
      <c r="BZ237" s="105"/>
      <c r="CA237" s="105"/>
      <c r="CB237" s="105"/>
      <c r="CC237" s="105"/>
      <c r="CD237" s="105"/>
      <c r="CE237" s="105"/>
      <c r="CF237" s="105"/>
      <c r="CG237" s="105"/>
      <c r="CH237" s="105"/>
      <c r="CI237" s="105"/>
      <c r="CJ237" s="105"/>
      <c r="CK237" s="105"/>
      <c r="CL237" s="105"/>
      <c r="CM237" s="105"/>
      <c r="CN237" s="105"/>
      <c r="CO237" s="105"/>
      <c r="CP237" s="105"/>
      <c r="CQ237" s="105"/>
      <c r="CR237" s="105"/>
      <c r="CS237" s="105"/>
      <c r="CT237" s="105"/>
      <c r="CU237" s="105"/>
      <c r="CV237" s="105"/>
      <c r="CW237" s="105"/>
      <c r="CX237" s="105"/>
      <c r="CY237" s="105"/>
      <c r="CZ237" s="104"/>
      <c r="DA237" s="105"/>
      <c r="DB237" s="105"/>
      <c r="DC237" s="105"/>
      <c r="DD237" s="105"/>
      <c r="DE237" s="105"/>
      <c r="DF237" s="105"/>
      <c r="DG237" s="105"/>
      <c r="DH237" s="105"/>
      <c r="DI237" s="105"/>
      <c r="DJ237" s="105"/>
      <c r="DK237" s="104"/>
      <c r="DL237" s="104"/>
    </row>
    <row r="238" ht="12.0" customHeight="1">
      <c r="A238" s="104"/>
      <c r="B238" s="104"/>
      <c r="C238" s="243"/>
      <c r="D238" s="243"/>
      <c r="E238" s="243"/>
      <c r="F238" s="243"/>
      <c r="G238" s="243"/>
      <c r="H238" s="243"/>
      <c r="I238" s="243"/>
      <c r="J238" s="243"/>
      <c r="K238" s="243"/>
      <c r="L238" s="243"/>
      <c r="M238" s="243"/>
      <c r="N238" s="243"/>
      <c r="O238" s="243"/>
      <c r="P238" s="243"/>
      <c r="Q238" s="243"/>
      <c r="R238" s="243"/>
      <c r="S238" s="243"/>
      <c r="T238" s="243"/>
      <c r="U238" s="243"/>
      <c r="V238" s="243"/>
      <c r="W238" s="243"/>
      <c r="X238" s="243"/>
      <c r="Y238" s="243"/>
      <c r="Z238" s="243"/>
      <c r="AA238" s="243"/>
      <c r="AB238" s="243"/>
      <c r="AC238" s="105"/>
      <c r="AD238" s="105"/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/>
      <c r="AO238" s="105"/>
      <c r="AP238" s="105"/>
      <c r="AQ238" s="105"/>
      <c r="AR238" s="105"/>
      <c r="AS238" s="105"/>
      <c r="AT238" s="105"/>
      <c r="AU238" s="105"/>
      <c r="AV238" s="105"/>
      <c r="AW238" s="105"/>
      <c r="AX238" s="105"/>
      <c r="AY238" s="105"/>
      <c r="AZ238" s="105"/>
      <c r="BA238" s="105"/>
      <c r="BB238" s="105"/>
      <c r="BC238" s="105"/>
      <c r="BD238" s="105"/>
      <c r="BE238" s="105"/>
      <c r="BF238" s="105"/>
      <c r="BG238" s="105"/>
      <c r="BH238" s="105"/>
      <c r="BI238" s="105"/>
      <c r="BJ238" s="105"/>
      <c r="BK238" s="105"/>
      <c r="BL238" s="105"/>
      <c r="BM238" s="105"/>
      <c r="BN238" s="105"/>
      <c r="BO238" s="105"/>
      <c r="BP238" s="105"/>
      <c r="BQ238" s="105"/>
      <c r="BR238" s="105"/>
      <c r="BS238" s="105"/>
      <c r="BT238" s="105"/>
      <c r="BU238" s="105"/>
      <c r="BV238" s="105"/>
      <c r="BW238" s="105"/>
      <c r="BX238" s="105"/>
      <c r="BY238" s="105"/>
      <c r="BZ238" s="105"/>
      <c r="CA238" s="105"/>
      <c r="CB238" s="105"/>
      <c r="CC238" s="105"/>
      <c r="CD238" s="105"/>
      <c r="CE238" s="105"/>
      <c r="CF238" s="105"/>
      <c r="CG238" s="105"/>
      <c r="CH238" s="105"/>
      <c r="CI238" s="105"/>
      <c r="CJ238" s="105"/>
      <c r="CK238" s="105"/>
      <c r="CL238" s="105"/>
      <c r="CM238" s="105"/>
      <c r="CN238" s="105"/>
      <c r="CO238" s="105"/>
      <c r="CP238" s="105"/>
      <c r="CQ238" s="105"/>
      <c r="CR238" s="105"/>
      <c r="CS238" s="105"/>
      <c r="CT238" s="105"/>
      <c r="CU238" s="105"/>
      <c r="CV238" s="105"/>
      <c r="CW238" s="105"/>
      <c r="CX238" s="105"/>
      <c r="CY238" s="105"/>
      <c r="CZ238" s="104"/>
      <c r="DA238" s="105"/>
      <c r="DB238" s="105"/>
      <c r="DC238" s="105"/>
      <c r="DD238" s="105"/>
      <c r="DE238" s="105"/>
      <c r="DF238" s="105"/>
      <c r="DG238" s="105"/>
      <c r="DH238" s="105"/>
      <c r="DI238" s="105"/>
      <c r="DJ238" s="105"/>
      <c r="DK238" s="104"/>
      <c r="DL238" s="104"/>
    </row>
    <row r="239" ht="12.0" customHeight="1">
      <c r="A239" s="104"/>
      <c r="B239" s="104"/>
      <c r="C239" s="243"/>
      <c r="D239" s="243"/>
      <c r="E239" s="243"/>
      <c r="F239" s="243"/>
      <c r="G239" s="243"/>
      <c r="H239" s="243"/>
      <c r="I239" s="243"/>
      <c r="J239" s="243"/>
      <c r="K239" s="243"/>
      <c r="L239" s="243"/>
      <c r="M239" s="243"/>
      <c r="N239" s="243"/>
      <c r="O239" s="243"/>
      <c r="P239" s="243"/>
      <c r="Q239" s="243"/>
      <c r="R239" s="243"/>
      <c r="S239" s="243"/>
      <c r="T239" s="243"/>
      <c r="U239" s="243"/>
      <c r="V239" s="243"/>
      <c r="W239" s="243"/>
      <c r="X239" s="243"/>
      <c r="Y239" s="243"/>
      <c r="Z239" s="243"/>
      <c r="AA239" s="243"/>
      <c r="AB239" s="243"/>
      <c r="AC239" s="105"/>
      <c r="AD239" s="105"/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/>
      <c r="AO239" s="105"/>
      <c r="AP239" s="105"/>
      <c r="AQ239" s="105"/>
      <c r="AR239" s="105"/>
      <c r="AS239" s="105"/>
      <c r="AT239" s="105"/>
      <c r="AU239" s="105"/>
      <c r="AV239" s="105"/>
      <c r="AW239" s="105"/>
      <c r="AX239" s="105"/>
      <c r="AY239" s="105"/>
      <c r="AZ239" s="105"/>
      <c r="BA239" s="105"/>
      <c r="BB239" s="105"/>
      <c r="BC239" s="105"/>
      <c r="BD239" s="105"/>
      <c r="BE239" s="105"/>
      <c r="BF239" s="105"/>
      <c r="BG239" s="105"/>
      <c r="BH239" s="105"/>
      <c r="BI239" s="105"/>
      <c r="BJ239" s="105"/>
      <c r="BK239" s="105"/>
      <c r="BL239" s="105"/>
      <c r="BM239" s="105"/>
      <c r="BN239" s="105"/>
      <c r="BO239" s="105"/>
      <c r="BP239" s="105"/>
      <c r="BQ239" s="105"/>
      <c r="BR239" s="105"/>
      <c r="BS239" s="105"/>
      <c r="BT239" s="105"/>
      <c r="BU239" s="105"/>
      <c r="BV239" s="105"/>
      <c r="BW239" s="105"/>
      <c r="BX239" s="105"/>
      <c r="BY239" s="105"/>
      <c r="BZ239" s="105"/>
      <c r="CA239" s="105"/>
      <c r="CB239" s="105"/>
      <c r="CC239" s="105"/>
      <c r="CD239" s="105"/>
      <c r="CE239" s="105"/>
      <c r="CF239" s="105"/>
      <c r="CG239" s="105"/>
      <c r="CH239" s="105"/>
      <c r="CI239" s="105"/>
      <c r="CJ239" s="105"/>
      <c r="CK239" s="105"/>
      <c r="CL239" s="105"/>
      <c r="CM239" s="105"/>
      <c r="CN239" s="105"/>
      <c r="CO239" s="105"/>
      <c r="CP239" s="105"/>
      <c r="CQ239" s="105"/>
      <c r="CR239" s="105"/>
      <c r="CS239" s="105"/>
      <c r="CT239" s="105"/>
      <c r="CU239" s="105"/>
      <c r="CV239" s="105"/>
      <c r="CW239" s="105"/>
      <c r="CX239" s="105"/>
      <c r="CY239" s="105"/>
      <c r="CZ239" s="104"/>
      <c r="DA239" s="105"/>
      <c r="DB239" s="105"/>
      <c r="DC239" s="105"/>
      <c r="DD239" s="105"/>
      <c r="DE239" s="105"/>
      <c r="DF239" s="105"/>
      <c r="DG239" s="105"/>
      <c r="DH239" s="105"/>
      <c r="DI239" s="105"/>
      <c r="DJ239" s="105"/>
      <c r="DK239" s="104"/>
      <c r="DL239" s="104"/>
    </row>
    <row r="240" ht="12.0" customHeight="1">
      <c r="A240" s="104"/>
      <c r="B240" s="104"/>
      <c r="C240" s="243"/>
      <c r="D240" s="243"/>
      <c r="E240" s="243"/>
      <c r="F240" s="243"/>
      <c r="G240" s="243"/>
      <c r="H240" s="243"/>
      <c r="I240" s="243"/>
      <c r="J240" s="243"/>
      <c r="K240" s="243"/>
      <c r="L240" s="243"/>
      <c r="M240" s="243"/>
      <c r="N240" s="243"/>
      <c r="O240" s="243"/>
      <c r="P240" s="243"/>
      <c r="Q240" s="243"/>
      <c r="R240" s="243"/>
      <c r="S240" s="243"/>
      <c r="T240" s="243"/>
      <c r="U240" s="243"/>
      <c r="V240" s="243"/>
      <c r="W240" s="243"/>
      <c r="X240" s="243"/>
      <c r="Y240" s="243"/>
      <c r="Z240" s="243"/>
      <c r="AA240" s="243"/>
      <c r="AB240" s="243"/>
      <c r="AC240" s="105"/>
      <c r="AD240" s="105"/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/>
      <c r="AO240" s="105"/>
      <c r="AP240" s="105"/>
      <c r="AQ240" s="105"/>
      <c r="AR240" s="105"/>
      <c r="AS240" s="105"/>
      <c r="AT240" s="105"/>
      <c r="AU240" s="105"/>
      <c r="AV240" s="105"/>
      <c r="AW240" s="105"/>
      <c r="AX240" s="105"/>
      <c r="AY240" s="105"/>
      <c r="AZ240" s="105"/>
      <c r="BA240" s="105"/>
      <c r="BB240" s="105"/>
      <c r="BC240" s="105"/>
      <c r="BD240" s="105"/>
      <c r="BE240" s="105"/>
      <c r="BF240" s="105"/>
      <c r="BG240" s="105"/>
      <c r="BH240" s="105"/>
      <c r="BI240" s="105"/>
      <c r="BJ240" s="105"/>
      <c r="BK240" s="105"/>
      <c r="BL240" s="105"/>
      <c r="BM240" s="105"/>
      <c r="BN240" s="105"/>
      <c r="BO240" s="105"/>
      <c r="BP240" s="105"/>
      <c r="BQ240" s="105"/>
      <c r="BR240" s="105"/>
      <c r="BS240" s="105"/>
      <c r="BT240" s="105"/>
      <c r="BU240" s="105"/>
      <c r="BV240" s="105"/>
      <c r="BW240" s="105"/>
      <c r="BX240" s="105"/>
      <c r="BY240" s="105"/>
      <c r="BZ240" s="105"/>
      <c r="CA240" s="105"/>
      <c r="CB240" s="105"/>
      <c r="CC240" s="105"/>
      <c r="CD240" s="105"/>
      <c r="CE240" s="105"/>
      <c r="CF240" s="105"/>
      <c r="CG240" s="105"/>
      <c r="CH240" s="105"/>
      <c r="CI240" s="105"/>
      <c r="CJ240" s="105"/>
      <c r="CK240" s="105"/>
      <c r="CL240" s="105"/>
      <c r="CM240" s="105"/>
      <c r="CN240" s="105"/>
      <c r="CO240" s="105"/>
      <c r="CP240" s="105"/>
      <c r="CQ240" s="105"/>
      <c r="CR240" s="105"/>
      <c r="CS240" s="105"/>
      <c r="CT240" s="105"/>
      <c r="CU240" s="105"/>
      <c r="CV240" s="105"/>
      <c r="CW240" s="105"/>
      <c r="CX240" s="105"/>
      <c r="CY240" s="105"/>
      <c r="CZ240" s="104"/>
      <c r="DA240" s="105"/>
      <c r="DB240" s="105"/>
      <c r="DC240" s="105"/>
      <c r="DD240" s="105"/>
      <c r="DE240" s="105"/>
      <c r="DF240" s="105"/>
      <c r="DG240" s="105"/>
      <c r="DH240" s="105"/>
      <c r="DI240" s="105"/>
      <c r="DJ240" s="105"/>
      <c r="DK240" s="104"/>
      <c r="DL240" s="104"/>
    </row>
    <row r="241" ht="12.0" customHeight="1">
      <c r="A241" s="104"/>
      <c r="B241" s="104"/>
      <c r="C241" s="243"/>
      <c r="D241" s="243"/>
      <c r="E241" s="243"/>
      <c r="F241" s="243"/>
      <c r="G241" s="243"/>
      <c r="H241" s="243"/>
      <c r="I241" s="243"/>
      <c r="J241" s="243"/>
      <c r="K241" s="243"/>
      <c r="L241" s="243"/>
      <c r="M241" s="243"/>
      <c r="N241" s="243"/>
      <c r="O241" s="243"/>
      <c r="P241" s="243"/>
      <c r="Q241" s="243"/>
      <c r="R241" s="243"/>
      <c r="S241" s="243"/>
      <c r="T241" s="243"/>
      <c r="U241" s="243"/>
      <c r="V241" s="243"/>
      <c r="W241" s="243"/>
      <c r="X241" s="243"/>
      <c r="Y241" s="243"/>
      <c r="Z241" s="243"/>
      <c r="AA241" s="243"/>
      <c r="AB241" s="243"/>
      <c r="AC241" s="105"/>
      <c r="AD241" s="105"/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/>
      <c r="AO241" s="105"/>
      <c r="AP241" s="105"/>
      <c r="AQ241" s="105"/>
      <c r="AR241" s="105"/>
      <c r="AS241" s="105"/>
      <c r="AT241" s="105"/>
      <c r="AU241" s="105"/>
      <c r="AV241" s="105"/>
      <c r="AW241" s="105"/>
      <c r="AX241" s="105"/>
      <c r="AY241" s="105"/>
      <c r="AZ241" s="105"/>
      <c r="BA241" s="105"/>
      <c r="BB241" s="105"/>
      <c r="BC241" s="105"/>
      <c r="BD241" s="105"/>
      <c r="BE241" s="105"/>
      <c r="BF241" s="105"/>
      <c r="BG241" s="105"/>
      <c r="BH241" s="105"/>
      <c r="BI241" s="105"/>
      <c r="BJ241" s="105"/>
      <c r="BK241" s="105"/>
      <c r="BL241" s="105"/>
      <c r="BM241" s="105"/>
      <c r="BN241" s="105"/>
      <c r="BO241" s="105"/>
      <c r="BP241" s="105"/>
      <c r="BQ241" s="105"/>
      <c r="BR241" s="105"/>
      <c r="BS241" s="105"/>
      <c r="BT241" s="105"/>
      <c r="BU241" s="105"/>
      <c r="BV241" s="105"/>
      <c r="BW241" s="105"/>
      <c r="BX241" s="105"/>
      <c r="BY241" s="105"/>
      <c r="BZ241" s="105"/>
      <c r="CA241" s="105"/>
      <c r="CB241" s="105"/>
      <c r="CC241" s="105"/>
      <c r="CD241" s="105"/>
      <c r="CE241" s="105"/>
      <c r="CF241" s="105"/>
      <c r="CG241" s="105"/>
      <c r="CH241" s="105"/>
      <c r="CI241" s="105"/>
      <c r="CJ241" s="105"/>
      <c r="CK241" s="105"/>
      <c r="CL241" s="105"/>
      <c r="CM241" s="105"/>
      <c r="CN241" s="105"/>
      <c r="CO241" s="105"/>
      <c r="CP241" s="105"/>
      <c r="CQ241" s="105"/>
      <c r="CR241" s="105"/>
      <c r="CS241" s="105"/>
      <c r="CT241" s="105"/>
      <c r="CU241" s="105"/>
      <c r="CV241" s="105"/>
      <c r="CW241" s="105"/>
      <c r="CX241" s="105"/>
      <c r="CY241" s="105"/>
      <c r="CZ241" s="104"/>
      <c r="DA241" s="105"/>
      <c r="DB241" s="105"/>
      <c r="DC241" s="105"/>
      <c r="DD241" s="105"/>
      <c r="DE241" s="105"/>
      <c r="DF241" s="105"/>
      <c r="DG241" s="105"/>
      <c r="DH241" s="105"/>
      <c r="DI241" s="105"/>
      <c r="DJ241" s="105"/>
      <c r="DK241" s="104"/>
      <c r="DL241" s="104"/>
    </row>
    <row r="242" ht="12.0" customHeight="1">
      <c r="A242" s="104"/>
      <c r="B242" s="104"/>
      <c r="C242" s="243"/>
      <c r="D242" s="243"/>
      <c r="E242" s="243"/>
      <c r="F242" s="243"/>
      <c r="G242" s="243"/>
      <c r="H242" s="243"/>
      <c r="I242" s="243"/>
      <c r="J242" s="243"/>
      <c r="K242" s="243"/>
      <c r="L242" s="243"/>
      <c r="M242" s="243"/>
      <c r="N242" s="243"/>
      <c r="O242" s="243"/>
      <c r="P242" s="243"/>
      <c r="Q242" s="243"/>
      <c r="R242" s="243"/>
      <c r="S242" s="243"/>
      <c r="T242" s="243"/>
      <c r="U242" s="243"/>
      <c r="V242" s="243"/>
      <c r="W242" s="243"/>
      <c r="X242" s="243"/>
      <c r="Y242" s="243"/>
      <c r="Z242" s="243"/>
      <c r="AA242" s="243"/>
      <c r="AB242" s="243"/>
      <c r="AC242" s="105"/>
      <c r="AD242" s="105"/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/>
      <c r="AO242" s="105"/>
      <c r="AP242" s="105"/>
      <c r="AQ242" s="105"/>
      <c r="AR242" s="105"/>
      <c r="AS242" s="105"/>
      <c r="AT242" s="105"/>
      <c r="AU242" s="105"/>
      <c r="AV242" s="105"/>
      <c r="AW242" s="105"/>
      <c r="AX242" s="105"/>
      <c r="AY242" s="105"/>
      <c r="AZ242" s="105"/>
      <c r="BA242" s="105"/>
      <c r="BB242" s="105"/>
      <c r="BC242" s="105"/>
      <c r="BD242" s="105"/>
      <c r="BE242" s="105"/>
      <c r="BF242" s="105"/>
      <c r="BG242" s="105"/>
      <c r="BH242" s="105"/>
      <c r="BI242" s="105"/>
      <c r="BJ242" s="105"/>
      <c r="BK242" s="105"/>
      <c r="BL242" s="105"/>
      <c r="BM242" s="105"/>
      <c r="BN242" s="105"/>
      <c r="BO242" s="105"/>
      <c r="BP242" s="105"/>
      <c r="BQ242" s="105"/>
      <c r="BR242" s="105"/>
      <c r="BS242" s="105"/>
      <c r="BT242" s="105"/>
      <c r="BU242" s="105"/>
      <c r="BV242" s="105"/>
      <c r="BW242" s="105"/>
      <c r="BX242" s="105"/>
      <c r="BY242" s="105"/>
      <c r="BZ242" s="105"/>
      <c r="CA242" s="105"/>
      <c r="CB242" s="105"/>
      <c r="CC242" s="105"/>
      <c r="CD242" s="105"/>
      <c r="CE242" s="105"/>
      <c r="CF242" s="105"/>
      <c r="CG242" s="105"/>
      <c r="CH242" s="105"/>
      <c r="CI242" s="105"/>
      <c r="CJ242" s="105"/>
      <c r="CK242" s="105"/>
      <c r="CL242" s="105"/>
      <c r="CM242" s="105"/>
      <c r="CN242" s="105"/>
      <c r="CO242" s="105"/>
      <c r="CP242" s="105"/>
      <c r="CQ242" s="105"/>
      <c r="CR242" s="105"/>
      <c r="CS242" s="105"/>
      <c r="CT242" s="105"/>
      <c r="CU242" s="105"/>
      <c r="CV242" s="105"/>
      <c r="CW242" s="105"/>
      <c r="CX242" s="105"/>
      <c r="CY242" s="105"/>
      <c r="CZ242" s="104"/>
      <c r="DA242" s="105"/>
      <c r="DB242" s="105"/>
      <c r="DC242" s="105"/>
      <c r="DD242" s="105"/>
      <c r="DE242" s="105"/>
      <c r="DF242" s="105"/>
      <c r="DG242" s="105"/>
      <c r="DH242" s="105"/>
      <c r="DI242" s="105"/>
      <c r="DJ242" s="105"/>
      <c r="DK242" s="104"/>
      <c r="DL242" s="104"/>
    </row>
    <row r="243" ht="12.0" customHeight="1">
      <c r="A243" s="104"/>
      <c r="B243" s="104"/>
      <c r="C243" s="243"/>
      <c r="D243" s="243"/>
      <c r="E243" s="243"/>
      <c r="F243" s="243"/>
      <c r="G243" s="243"/>
      <c r="H243" s="243"/>
      <c r="I243" s="243"/>
      <c r="J243" s="243"/>
      <c r="K243" s="243"/>
      <c r="L243" s="243"/>
      <c r="M243" s="243"/>
      <c r="N243" s="243"/>
      <c r="O243" s="243"/>
      <c r="P243" s="243"/>
      <c r="Q243" s="243"/>
      <c r="R243" s="243"/>
      <c r="S243" s="243"/>
      <c r="T243" s="243"/>
      <c r="U243" s="243"/>
      <c r="V243" s="243"/>
      <c r="W243" s="243"/>
      <c r="X243" s="243"/>
      <c r="Y243" s="243"/>
      <c r="Z243" s="243"/>
      <c r="AA243" s="243"/>
      <c r="AB243" s="243"/>
      <c r="AC243" s="105"/>
      <c r="AD243" s="105"/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/>
      <c r="AO243" s="105"/>
      <c r="AP243" s="105"/>
      <c r="AQ243" s="105"/>
      <c r="AR243" s="105"/>
      <c r="AS243" s="105"/>
      <c r="AT243" s="105"/>
      <c r="AU243" s="105"/>
      <c r="AV243" s="105"/>
      <c r="AW243" s="105"/>
      <c r="AX243" s="105"/>
      <c r="AY243" s="105"/>
      <c r="AZ243" s="105"/>
      <c r="BA243" s="105"/>
      <c r="BB243" s="105"/>
      <c r="BC243" s="105"/>
      <c r="BD243" s="105"/>
      <c r="BE243" s="105"/>
      <c r="BF243" s="105"/>
      <c r="BG243" s="105"/>
      <c r="BH243" s="105"/>
      <c r="BI243" s="105"/>
      <c r="BJ243" s="105"/>
      <c r="BK243" s="105"/>
      <c r="BL243" s="105"/>
      <c r="BM243" s="105"/>
      <c r="BN243" s="105"/>
      <c r="BO243" s="105"/>
      <c r="BP243" s="105"/>
      <c r="BQ243" s="105"/>
      <c r="BR243" s="105"/>
      <c r="BS243" s="105"/>
      <c r="BT243" s="105"/>
      <c r="BU243" s="105"/>
      <c r="BV243" s="105"/>
      <c r="BW243" s="105"/>
      <c r="BX243" s="105"/>
      <c r="BY243" s="105"/>
      <c r="BZ243" s="105"/>
      <c r="CA243" s="105"/>
      <c r="CB243" s="105"/>
      <c r="CC243" s="105"/>
      <c r="CD243" s="105"/>
      <c r="CE243" s="105"/>
      <c r="CF243" s="105"/>
      <c r="CG243" s="105"/>
      <c r="CH243" s="105"/>
      <c r="CI243" s="105"/>
      <c r="CJ243" s="105"/>
      <c r="CK243" s="105"/>
      <c r="CL243" s="105"/>
      <c r="CM243" s="105"/>
      <c r="CN243" s="105"/>
      <c r="CO243" s="105"/>
      <c r="CP243" s="105"/>
      <c r="CQ243" s="105"/>
      <c r="CR243" s="105"/>
      <c r="CS243" s="105"/>
      <c r="CT243" s="105"/>
      <c r="CU243" s="105"/>
      <c r="CV243" s="105"/>
      <c r="CW243" s="105"/>
      <c r="CX243" s="105"/>
      <c r="CY243" s="105"/>
      <c r="CZ243" s="104"/>
      <c r="DA243" s="105"/>
      <c r="DB243" s="105"/>
      <c r="DC243" s="105"/>
      <c r="DD243" s="105"/>
      <c r="DE243" s="105"/>
      <c r="DF243" s="105"/>
      <c r="DG243" s="105"/>
      <c r="DH243" s="105"/>
      <c r="DI243" s="105"/>
      <c r="DJ243" s="105"/>
      <c r="DK243" s="104"/>
      <c r="DL243" s="104"/>
    </row>
    <row r="244" ht="12.0" customHeight="1">
      <c r="A244" s="104"/>
      <c r="B244" s="104"/>
      <c r="C244" s="243"/>
      <c r="D244" s="243"/>
      <c r="E244" s="243"/>
      <c r="F244" s="243"/>
      <c r="G244" s="243"/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3"/>
      <c r="S244" s="243"/>
      <c r="T244" s="243"/>
      <c r="U244" s="243"/>
      <c r="V244" s="243"/>
      <c r="W244" s="243"/>
      <c r="X244" s="243"/>
      <c r="Y244" s="243"/>
      <c r="Z244" s="243"/>
      <c r="AA244" s="243"/>
      <c r="AB244" s="243"/>
      <c r="AC244" s="105"/>
      <c r="AD244" s="105"/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/>
      <c r="AO244" s="105"/>
      <c r="AP244" s="105"/>
      <c r="AQ244" s="105"/>
      <c r="AR244" s="105"/>
      <c r="AS244" s="105"/>
      <c r="AT244" s="105"/>
      <c r="AU244" s="105"/>
      <c r="AV244" s="105"/>
      <c r="AW244" s="105"/>
      <c r="AX244" s="105"/>
      <c r="AY244" s="105"/>
      <c r="AZ244" s="105"/>
      <c r="BA244" s="105"/>
      <c r="BB244" s="105"/>
      <c r="BC244" s="105"/>
      <c r="BD244" s="105"/>
      <c r="BE244" s="105"/>
      <c r="BF244" s="105"/>
      <c r="BG244" s="105"/>
      <c r="BH244" s="105"/>
      <c r="BI244" s="105"/>
      <c r="BJ244" s="105"/>
      <c r="BK244" s="105"/>
      <c r="BL244" s="105"/>
      <c r="BM244" s="105"/>
      <c r="BN244" s="105"/>
      <c r="BO244" s="105"/>
      <c r="BP244" s="105"/>
      <c r="BQ244" s="105"/>
      <c r="BR244" s="105"/>
      <c r="BS244" s="105"/>
      <c r="BT244" s="105"/>
      <c r="BU244" s="105"/>
      <c r="BV244" s="105"/>
      <c r="BW244" s="105"/>
      <c r="BX244" s="105"/>
      <c r="BY244" s="105"/>
      <c r="BZ244" s="105"/>
      <c r="CA244" s="105"/>
      <c r="CB244" s="105"/>
      <c r="CC244" s="105"/>
      <c r="CD244" s="105"/>
      <c r="CE244" s="105"/>
      <c r="CF244" s="105"/>
      <c r="CG244" s="105"/>
      <c r="CH244" s="105"/>
      <c r="CI244" s="105"/>
      <c r="CJ244" s="105"/>
      <c r="CK244" s="105"/>
      <c r="CL244" s="105"/>
      <c r="CM244" s="105"/>
      <c r="CN244" s="105"/>
      <c r="CO244" s="105"/>
      <c r="CP244" s="105"/>
      <c r="CQ244" s="105"/>
      <c r="CR244" s="105"/>
      <c r="CS244" s="105"/>
      <c r="CT244" s="105"/>
      <c r="CU244" s="105"/>
      <c r="CV244" s="105"/>
      <c r="CW244" s="105"/>
      <c r="CX244" s="105"/>
      <c r="CY244" s="105"/>
      <c r="CZ244" s="104"/>
      <c r="DA244" s="105"/>
      <c r="DB244" s="105"/>
      <c r="DC244" s="105"/>
      <c r="DD244" s="105"/>
      <c r="DE244" s="105"/>
      <c r="DF244" s="105"/>
      <c r="DG244" s="105"/>
      <c r="DH244" s="105"/>
      <c r="DI244" s="105"/>
      <c r="DJ244" s="105"/>
      <c r="DK244" s="104"/>
      <c r="DL244" s="104"/>
    </row>
    <row r="245" ht="12.0" customHeight="1">
      <c r="A245" s="104"/>
      <c r="B245" s="104"/>
      <c r="C245" s="243"/>
      <c r="D245" s="243"/>
      <c r="E245" s="243"/>
      <c r="F245" s="243"/>
      <c r="G245" s="243"/>
      <c r="H245" s="243"/>
      <c r="I245" s="243"/>
      <c r="J245" s="243"/>
      <c r="K245" s="243"/>
      <c r="L245" s="243"/>
      <c r="M245" s="243"/>
      <c r="N245" s="243"/>
      <c r="O245" s="243"/>
      <c r="P245" s="243"/>
      <c r="Q245" s="243"/>
      <c r="R245" s="243"/>
      <c r="S245" s="243"/>
      <c r="T245" s="243"/>
      <c r="U245" s="243"/>
      <c r="V245" s="243"/>
      <c r="W245" s="243"/>
      <c r="X245" s="243"/>
      <c r="Y245" s="243"/>
      <c r="Z245" s="243"/>
      <c r="AA245" s="243"/>
      <c r="AB245" s="243"/>
      <c r="AC245" s="105"/>
      <c r="AD245" s="105"/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/>
      <c r="AO245" s="105"/>
      <c r="AP245" s="105"/>
      <c r="AQ245" s="105"/>
      <c r="AR245" s="105"/>
      <c r="AS245" s="105"/>
      <c r="AT245" s="105"/>
      <c r="AU245" s="105"/>
      <c r="AV245" s="105"/>
      <c r="AW245" s="105"/>
      <c r="AX245" s="105"/>
      <c r="AY245" s="105"/>
      <c r="AZ245" s="105"/>
      <c r="BA245" s="105"/>
      <c r="BB245" s="105"/>
      <c r="BC245" s="105"/>
      <c r="BD245" s="105"/>
      <c r="BE245" s="105"/>
      <c r="BF245" s="105"/>
      <c r="BG245" s="105"/>
      <c r="BH245" s="105"/>
      <c r="BI245" s="105"/>
      <c r="BJ245" s="105"/>
      <c r="BK245" s="105"/>
      <c r="BL245" s="105"/>
      <c r="BM245" s="105"/>
      <c r="BN245" s="105"/>
      <c r="BO245" s="105"/>
      <c r="BP245" s="105"/>
      <c r="BQ245" s="105"/>
      <c r="BR245" s="105"/>
      <c r="BS245" s="105"/>
      <c r="BT245" s="105"/>
      <c r="BU245" s="105"/>
      <c r="BV245" s="105"/>
      <c r="BW245" s="105"/>
      <c r="BX245" s="105"/>
      <c r="BY245" s="105"/>
      <c r="BZ245" s="105"/>
      <c r="CA245" s="105"/>
      <c r="CB245" s="105"/>
      <c r="CC245" s="105"/>
      <c r="CD245" s="105"/>
      <c r="CE245" s="105"/>
      <c r="CF245" s="105"/>
      <c r="CG245" s="105"/>
      <c r="CH245" s="105"/>
      <c r="CI245" s="105"/>
      <c r="CJ245" s="105"/>
      <c r="CK245" s="105"/>
      <c r="CL245" s="105"/>
      <c r="CM245" s="105"/>
      <c r="CN245" s="105"/>
      <c r="CO245" s="105"/>
      <c r="CP245" s="105"/>
      <c r="CQ245" s="105"/>
      <c r="CR245" s="105"/>
      <c r="CS245" s="105"/>
      <c r="CT245" s="105"/>
      <c r="CU245" s="105"/>
      <c r="CV245" s="105"/>
      <c r="CW245" s="105"/>
      <c r="CX245" s="105"/>
      <c r="CY245" s="105"/>
      <c r="CZ245" s="104"/>
      <c r="DA245" s="105"/>
      <c r="DB245" s="105"/>
      <c r="DC245" s="105"/>
      <c r="DD245" s="105"/>
      <c r="DE245" s="105"/>
      <c r="DF245" s="105"/>
      <c r="DG245" s="105"/>
      <c r="DH245" s="105"/>
      <c r="DI245" s="105"/>
      <c r="DJ245" s="105"/>
      <c r="DK245" s="104"/>
      <c r="DL245" s="104"/>
    </row>
    <row r="246" ht="12.0" customHeight="1">
      <c r="A246" s="104"/>
      <c r="B246" s="104"/>
      <c r="C246" s="243"/>
      <c r="D246" s="243"/>
      <c r="E246" s="243"/>
      <c r="F246" s="243"/>
      <c r="G246" s="243"/>
      <c r="H246" s="243"/>
      <c r="I246" s="243"/>
      <c r="J246" s="243"/>
      <c r="K246" s="243"/>
      <c r="L246" s="243"/>
      <c r="M246" s="243"/>
      <c r="N246" s="243"/>
      <c r="O246" s="243"/>
      <c r="P246" s="243"/>
      <c r="Q246" s="243"/>
      <c r="R246" s="243"/>
      <c r="S246" s="243"/>
      <c r="T246" s="243"/>
      <c r="U246" s="243"/>
      <c r="V246" s="243"/>
      <c r="W246" s="243"/>
      <c r="X246" s="243"/>
      <c r="Y246" s="243"/>
      <c r="Z246" s="243"/>
      <c r="AA246" s="243"/>
      <c r="AB246" s="243"/>
      <c r="AC246" s="105"/>
      <c r="AD246" s="105"/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/>
      <c r="AO246" s="105"/>
      <c r="AP246" s="105"/>
      <c r="AQ246" s="105"/>
      <c r="AR246" s="105"/>
      <c r="AS246" s="105"/>
      <c r="AT246" s="105"/>
      <c r="AU246" s="105"/>
      <c r="AV246" s="105"/>
      <c r="AW246" s="105"/>
      <c r="AX246" s="105"/>
      <c r="AY246" s="105"/>
      <c r="AZ246" s="105"/>
      <c r="BA246" s="105"/>
      <c r="BB246" s="105"/>
      <c r="BC246" s="105"/>
      <c r="BD246" s="105"/>
      <c r="BE246" s="105"/>
      <c r="BF246" s="105"/>
      <c r="BG246" s="105"/>
      <c r="BH246" s="105"/>
      <c r="BI246" s="105"/>
      <c r="BJ246" s="105"/>
      <c r="BK246" s="105"/>
      <c r="BL246" s="105"/>
      <c r="BM246" s="105"/>
      <c r="BN246" s="105"/>
      <c r="BO246" s="105"/>
      <c r="BP246" s="105"/>
      <c r="BQ246" s="105"/>
      <c r="BR246" s="105"/>
      <c r="BS246" s="105"/>
      <c r="BT246" s="105"/>
      <c r="BU246" s="105"/>
      <c r="BV246" s="105"/>
      <c r="BW246" s="105"/>
      <c r="BX246" s="105"/>
      <c r="BY246" s="105"/>
      <c r="BZ246" s="105"/>
      <c r="CA246" s="105"/>
      <c r="CB246" s="105"/>
      <c r="CC246" s="105"/>
      <c r="CD246" s="105"/>
      <c r="CE246" s="105"/>
      <c r="CF246" s="105"/>
      <c r="CG246" s="105"/>
      <c r="CH246" s="105"/>
      <c r="CI246" s="105"/>
      <c r="CJ246" s="105"/>
      <c r="CK246" s="105"/>
      <c r="CL246" s="105"/>
      <c r="CM246" s="105"/>
      <c r="CN246" s="105"/>
      <c r="CO246" s="105"/>
      <c r="CP246" s="105"/>
      <c r="CQ246" s="105"/>
      <c r="CR246" s="105"/>
      <c r="CS246" s="105"/>
      <c r="CT246" s="105"/>
      <c r="CU246" s="105"/>
      <c r="CV246" s="105"/>
      <c r="CW246" s="105"/>
      <c r="CX246" s="105"/>
      <c r="CY246" s="105"/>
      <c r="CZ246" s="104"/>
      <c r="DA246" s="105"/>
      <c r="DB246" s="105"/>
      <c r="DC246" s="105"/>
      <c r="DD246" s="105"/>
      <c r="DE246" s="105"/>
      <c r="DF246" s="105"/>
      <c r="DG246" s="105"/>
      <c r="DH246" s="105"/>
      <c r="DI246" s="105"/>
      <c r="DJ246" s="105"/>
      <c r="DK246" s="104"/>
      <c r="DL246" s="104"/>
    </row>
    <row r="247" ht="12.0" customHeight="1">
      <c r="A247" s="104"/>
      <c r="B247" s="104"/>
      <c r="C247" s="243"/>
      <c r="D247" s="243"/>
      <c r="E247" s="243"/>
      <c r="F247" s="243"/>
      <c r="G247" s="243"/>
      <c r="H247" s="243"/>
      <c r="I247" s="243"/>
      <c r="J247" s="243"/>
      <c r="K247" s="243"/>
      <c r="L247" s="243"/>
      <c r="M247" s="243"/>
      <c r="N247" s="243"/>
      <c r="O247" s="243"/>
      <c r="P247" s="243"/>
      <c r="Q247" s="243"/>
      <c r="R247" s="243"/>
      <c r="S247" s="243"/>
      <c r="T247" s="243"/>
      <c r="U247" s="243"/>
      <c r="V247" s="243"/>
      <c r="W247" s="243"/>
      <c r="X247" s="243"/>
      <c r="Y247" s="243"/>
      <c r="Z247" s="243"/>
      <c r="AA247" s="243"/>
      <c r="AB247" s="243"/>
      <c r="AC247" s="105"/>
      <c r="AD247" s="105"/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/>
      <c r="AO247" s="105"/>
      <c r="AP247" s="105"/>
      <c r="AQ247" s="105"/>
      <c r="AR247" s="105"/>
      <c r="AS247" s="105"/>
      <c r="AT247" s="105"/>
      <c r="AU247" s="105"/>
      <c r="AV247" s="105"/>
      <c r="AW247" s="105"/>
      <c r="AX247" s="105"/>
      <c r="AY247" s="105"/>
      <c r="AZ247" s="105"/>
      <c r="BA247" s="105"/>
      <c r="BB247" s="105"/>
      <c r="BC247" s="105"/>
      <c r="BD247" s="105"/>
      <c r="BE247" s="105"/>
      <c r="BF247" s="105"/>
      <c r="BG247" s="105"/>
      <c r="BH247" s="105"/>
      <c r="BI247" s="105"/>
      <c r="BJ247" s="105"/>
      <c r="BK247" s="105"/>
      <c r="BL247" s="105"/>
      <c r="BM247" s="105"/>
      <c r="BN247" s="105"/>
      <c r="BO247" s="105"/>
      <c r="BP247" s="105"/>
      <c r="BQ247" s="105"/>
      <c r="BR247" s="105"/>
      <c r="BS247" s="105"/>
      <c r="BT247" s="105"/>
      <c r="BU247" s="105"/>
      <c r="BV247" s="105"/>
      <c r="BW247" s="105"/>
      <c r="BX247" s="105"/>
      <c r="BY247" s="105"/>
      <c r="BZ247" s="105"/>
      <c r="CA247" s="105"/>
      <c r="CB247" s="105"/>
      <c r="CC247" s="105"/>
      <c r="CD247" s="105"/>
      <c r="CE247" s="105"/>
      <c r="CF247" s="105"/>
      <c r="CG247" s="105"/>
      <c r="CH247" s="105"/>
      <c r="CI247" s="105"/>
      <c r="CJ247" s="105"/>
      <c r="CK247" s="105"/>
      <c r="CL247" s="105"/>
      <c r="CM247" s="105"/>
      <c r="CN247" s="105"/>
      <c r="CO247" s="105"/>
      <c r="CP247" s="105"/>
      <c r="CQ247" s="105"/>
      <c r="CR247" s="105"/>
      <c r="CS247" s="105"/>
      <c r="CT247" s="105"/>
      <c r="CU247" s="105"/>
      <c r="CV247" s="105"/>
      <c r="CW247" s="105"/>
      <c r="CX247" s="105"/>
      <c r="CY247" s="105"/>
      <c r="CZ247" s="104"/>
      <c r="DA247" s="105"/>
      <c r="DB247" s="105"/>
      <c r="DC247" s="105"/>
      <c r="DD247" s="105"/>
      <c r="DE247" s="105"/>
      <c r="DF247" s="105"/>
      <c r="DG247" s="105"/>
      <c r="DH247" s="105"/>
      <c r="DI247" s="105"/>
      <c r="DJ247" s="105"/>
      <c r="DK247" s="104"/>
      <c r="DL247" s="104"/>
    </row>
    <row r="248" ht="12.0" customHeight="1">
      <c r="A248" s="104"/>
      <c r="B248" s="104"/>
      <c r="C248" s="243"/>
      <c r="D248" s="243"/>
      <c r="E248" s="243"/>
      <c r="F248" s="243"/>
      <c r="G248" s="243"/>
      <c r="H248" s="243"/>
      <c r="I248" s="243"/>
      <c r="J248" s="243"/>
      <c r="K248" s="243"/>
      <c r="L248" s="243"/>
      <c r="M248" s="243"/>
      <c r="N248" s="243"/>
      <c r="O248" s="243"/>
      <c r="P248" s="243"/>
      <c r="Q248" s="243"/>
      <c r="R248" s="243"/>
      <c r="S248" s="243"/>
      <c r="T248" s="243"/>
      <c r="U248" s="243"/>
      <c r="V248" s="243"/>
      <c r="W248" s="243"/>
      <c r="X248" s="243"/>
      <c r="Y248" s="243"/>
      <c r="Z248" s="243"/>
      <c r="AA248" s="243"/>
      <c r="AB248" s="243"/>
      <c r="AC248" s="105"/>
      <c r="AD248" s="105"/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/>
      <c r="AO248" s="105"/>
      <c r="AP248" s="105"/>
      <c r="AQ248" s="105"/>
      <c r="AR248" s="105"/>
      <c r="AS248" s="105"/>
      <c r="AT248" s="105"/>
      <c r="AU248" s="105"/>
      <c r="AV248" s="105"/>
      <c r="AW248" s="105"/>
      <c r="AX248" s="105"/>
      <c r="AY248" s="105"/>
      <c r="AZ248" s="105"/>
      <c r="BA248" s="105"/>
      <c r="BB248" s="105"/>
      <c r="BC248" s="105"/>
      <c r="BD248" s="105"/>
      <c r="BE248" s="105"/>
      <c r="BF248" s="105"/>
      <c r="BG248" s="105"/>
      <c r="BH248" s="105"/>
      <c r="BI248" s="105"/>
      <c r="BJ248" s="105"/>
      <c r="BK248" s="105"/>
      <c r="BL248" s="105"/>
      <c r="BM248" s="105"/>
      <c r="BN248" s="105"/>
      <c r="BO248" s="105"/>
      <c r="BP248" s="105"/>
      <c r="BQ248" s="105"/>
      <c r="BR248" s="105"/>
      <c r="BS248" s="105"/>
      <c r="BT248" s="105"/>
      <c r="BU248" s="105"/>
      <c r="BV248" s="105"/>
      <c r="BW248" s="105"/>
      <c r="BX248" s="105"/>
      <c r="BY248" s="105"/>
      <c r="BZ248" s="105"/>
      <c r="CA248" s="105"/>
      <c r="CB248" s="105"/>
      <c r="CC248" s="105"/>
      <c r="CD248" s="105"/>
      <c r="CE248" s="105"/>
      <c r="CF248" s="105"/>
      <c r="CG248" s="105"/>
      <c r="CH248" s="105"/>
      <c r="CI248" s="105"/>
      <c r="CJ248" s="105"/>
      <c r="CK248" s="105"/>
      <c r="CL248" s="105"/>
      <c r="CM248" s="105"/>
      <c r="CN248" s="105"/>
      <c r="CO248" s="105"/>
      <c r="CP248" s="105"/>
      <c r="CQ248" s="105"/>
      <c r="CR248" s="105"/>
      <c r="CS248" s="105"/>
      <c r="CT248" s="105"/>
      <c r="CU248" s="105"/>
      <c r="CV248" s="105"/>
      <c r="CW248" s="105"/>
      <c r="CX248" s="105"/>
      <c r="CY248" s="105"/>
      <c r="CZ248" s="104"/>
      <c r="DA248" s="105"/>
      <c r="DB248" s="105"/>
      <c r="DC248" s="105"/>
      <c r="DD248" s="105"/>
      <c r="DE248" s="105"/>
      <c r="DF248" s="105"/>
      <c r="DG248" s="105"/>
      <c r="DH248" s="105"/>
      <c r="DI248" s="105"/>
      <c r="DJ248" s="105"/>
      <c r="DK248" s="104"/>
      <c r="DL248" s="104"/>
    </row>
    <row r="249" ht="12.0" customHeight="1">
      <c r="A249" s="104"/>
      <c r="B249" s="104"/>
      <c r="C249" s="243"/>
      <c r="D249" s="243"/>
      <c r="E249" s="243"/>
      <c r="F249" s="243"/>
      <c r="G249" s="243"/>
      <c r="H249" s="243"/>
      <c r="I249" s="243"/>
      <c r="J249" s="243"/>
      <c r="K249" s="243"/>
      <c r="L249" s="243"/>
      <c r="M249" s="243"/>
      <c r="N249" s="243"/>
      <c r="O249" s="243"/>
      <c r="P249" s="243"/>
      <c r="Q249" s="243"/>
      <c r="R249" s="243"/>
      <c r="S249" s="243"/>
      <c r="T249" s="243"/>
      <c r="U249" s="243"/>
      <c r="V249" s="243"/>
      <c r="W249" s="243"/>
      <c r="X249" s="243"/>
      <c r="Y249" s="243"/>
      <c r="Z249" s="243"/>
      <c r="AA249" s="243"/>
      <c r="AB249" s="243"/>
      <c r="AC249" s="105"/>
      <c r="AD249" s="105"/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/>
      <c r="AO249" s="105"/>
      <c r="AP249" s="105"/>
      <c r="AQ249" s="105"/>
      <c r="AR249" s="105"/>
      <c r="AS249" s="105"/>
      <c r="AT249" s="105"/>
      <c r="AU249" s="105"/>
      <c r="AV249" s="105"/>
      <c r="AW249" s="105"/>
      <c r="AX249" s="105"/>
      <c r="AY249" s="105"/>
      <c r="AZ249" s="105"/>
      <c r="BA249" s="105"/>
      <c r="BB249" s="105"/>
      <c r="BC249" s="105"/>
      <c r="BD249" s="105"/>
      <c r="BE249" s="105"/>
      <c r="BF249" s="105"/>
      <c r="BG249" s="105"/>
      <c r="BH249" s="105"/>
      <c r="BI249" s="105"/>
      <c r="BJ249" s="105"/>
      <c r="BK249" s="105"/>
      <c r="BL249" s="105"/>
      <c r="BM249" s="105"/>
      <c r="BN249" s="105"/>
      <c r="BO249" s="105"/>
      <c r="BP249" s="105"/>
      <c r="BQ249" s="105"/>
      <c r="BR249" s="105"/>
      <c r="BS249" s="105"/>
      <c r="BT249" s="105"/>
      <c r="BU249" s="105"/>
      <c r="BV249" s="105"/>
      <c r="BW249" s="105"/>
      <c r="BX249" s="105"/>
      <c r="BY249" s="105"/>
      <c r="BZ249" s="105"/>
      <c r="CA249" s="105"/>
      <c r="CB249" s="105"/>
      <c r="CC249" s="105"/>
      <c r="CD249" s="105"/>
      <c r="CE249" s="105"/>
      <c r="CF249" s="105"/>
      <c r="CG249" s="105"/>
      <c r="CH249" s="105"/>
      <c r="CI249" s="105"/>
      <c r="CJ249" s="105"/>
      <c r="CK249" s="105"/>
      <c r="CL249" s="105"/>
      <c r="CM249" s="105"/>
      <c r="CN249" s="105"/>
      <c r="CO249" s="105"/>
      <c r="CP249" s="105"/>
      <c r="CQ249" s="105"/>
      <c r="CR249" s="105"/>
      <c r="CS249" s="105"/>
      <c r="CT249" s="105"/>
      <c r="CU249" s="105"/>
      <c r="CV249" s="105"/>
      <c r="CW249" s="105"/>
      <c r="CX249" s="105"/>
      <c r="CY249" s="105"/>
      <c r="CZ249" s="104"/>
      <c r="DA249" s="105"/>
      <c r="DB249" s="105"/>
      <c r="DC249" s="105"/>
      <c r="DD249" s="105"/>
      <c r="DE249" s="105"/>
      <c r="DF249" s="105"/>
      <c r="DG249" s="105"/>
      <c r="DH249" s="105"/>
      <c r="DI249" s="105"/>
      <c r="DJ249" s="105"/>
      <c r="DK249" s="104"/>
      <c r="DL249" s="104"/>
    </row>
    <row r="250" ht="12.0" customHeight="1">
      <c r="A250" s="104"/>
      <c r="B250" s="104"/>
      <c r="C250" s="243"/>
      <c r="D250" s="243"/>
      <c r="E250" s="243"/>
      <c r="F250" s="243"/>
      <c r="G250" s="243"/>
      <c r="H250" s="243"/>
      <c r="I250" s="243"/>
      <c r="J250" s="243"/>
      <c r="K250" s="243"/>
      <c r="L250" s="243"/>
      <c r="M250" s="243"/>
      <c r="N250" s="243"/>
      <c r="O250" s="243"/>
      <c r="P250" s="243"/>
      <c r="Q250" s="243"/>
      <c r="R250" s="243"/>
      <c r="S250" s="243"/>
      <c r="T250" s="243"/>
      <c r="U250" s="243"/>
      <c r="V250" s="243"/>
      <c r="W250" s="243"/>
      <c r="X250" s="243"/>
      <c r="Y250" s="243"/>
      <c r="Z250" s="243"/>
      <c r="AA250" s="243"/>
      <c r="AB250" s="243"/>
      <c r="AC250" s="105"/>
      <c r="AD250" s="105"/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/>
      <c r="AO250" s="105"/>
      <c r="AP250" s="105"/>
      <c r="AQ250" s="105"/>
      <c r="AR250" s="105"/>
      <c r="AS250" s="105"/>
      <c r="AT250" s="105"/>
      <c r="AU250" s="105"/>
      <c r="AV250" s="105"/>
      <c r="AW250" s="105"/>
      <c r="AX250" s="105"/>
      <c r="AY250" s="105"/>
      <c r="AZ250" s="105"/>
      <c r="BA250" s="105"/>
      <c r="BB250" s="105"/>
      <c r="BC250" s="105"/>
      <c r="BD250" s="105"/>
      <c r="BE250" s="105"/>
      <c r="BF250" s="105"/>
      <c r="BG250" s="105"/>
      <c r="BH250" s="105"/>
      <c r="BI250" s="105"/>
      <c r="BJ250" s="105"/>
      <c r="BK250" s="105"/>
      <c r="BL250" s="105"/>
      <c r="BM250" s="105"/>
      <c r="BN250" s="105"/>
      <c r="BO250" s="105"/>
      <c r="BP250" s="105"/>
      <c r="BQ250" s="105"/>
      <c r="BR250" s="105"/>
      <c r="BS250" s="105"/>
      <c r="BT250" s="105"/>
      <c r="BU250" s="105"/>
      <c r="BV250" s="105"/>
      <c r="BW250" s="105"/>
      <c r="BX250" s="105"/>
      <c r="BY250" s="105"/>
      <c r="BZ250" s="105"/>
      <c r="CA250" s="105"/>
      <c r="CB250" s="105"/>
      <c r="CC250" s="105"/>
      <c r="CD250" s="105"/>
      <c r="CE250" s="105"/>
      <c r="CF250" s="105"/>
      <c r="CG250" s="105"/>
      <c r="CH250" s="105"/>
      <c r="CI250" s="105"/>
      <c r="CJ250" s="105"/>
      <c r="CK250" s="105"/>
      <c r="CL250" s="105"/>
      <c r="CM250" s="105"/>
      <c r="CN250" s="105"/>
      <c r="CO250" s="105"/>
      <c r="CP250" s="105"/>
      <c r="CQ250" s="105"/>
      <c r="CR250" s="105"/>
      <c r="CS250" s="105"/>
      <c r="CT250" s="105"/>
      <c r="CU250" s="105"/>
      <c r="CV250" s="105"/>
      <c r="CW250" s="105"/>
      <c r="CX250" s="105"/>
      <c r="CY250" s="105"/>
      <c r="CZ250" s="104"/>
      <c r="DA250" s="105"/>
      <c r="DB250" s="105"/>
      <c r="DC250" s="105"/>
      <c r="DD250" s="105"/>
      <c r="DE250" s="105"/>
      <c r="DF250" s="105"/>
      <c r="DG250" s="105"/>
      <c r="DH250" s="105"/>
      <c r="DI250" s="105"/>
      <c r="DJ250" s="105"/>
      <c r="DK250" s="104"/>
      <c r="DL250" s="104"/>
    </row>
    <row r="251" ht="12.0" customHeight="1">
      <c r="A251" s="104"/>
      <c r="B251" s="104"/>
      <c r="C251" s="243"/>
      <c r="D251" s="243"/>
      <c r="E251" s="243"/>
      <c r="F251" s="243"/>
      <c r="G251" s="243"/>
      <c r="H251" s="243"/>
      <c r="I251" s="243"/>
      <c r="J251" s="243"/>
      <c r="K251" s="243"/>
      <c r="L251" s="243"/>
      <c r="M251" s="243"/>
      <c r="N251" s="243"/>
      <c r="O251" s="243"/>
      <c r="P251" s="243"/>
      <c r="Q251" s="243"/>
      <c r="R251" s="243"/>
      <c r="S251" s="243"/>
      <c r="T251" s="243"/>
      <c r="U251" s="243"/>
      <c r="V251" s="243"/>
      <c r="W251" s="243"/>
      <c r="X251" s="243"/>
      <c r="Y251" s="243"/>
      <c r="Z251" s="243"/>
      <c r="AA251" s="243"/>
      <c r="AB251" s="243"/>
      <c r="AC251" s="105"/>
      <c r="AD251" s="105"/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/>
      <c r="AO251" s="105"/>
      <c r="AP251" s="105"/>
      <c r="AQ251" s="105"/>
      <c r="AR251" s="105"/>
      <c r="AS251" s="105"/>
      <c r="AT251" s="105"/>
      <c r="AU251" s="105"/>
      <c r="AV251" s="105"/>
      <c r="AW251" s="105"/>
      <c r="AX251" s="105"/>
      <c r="AY251" s="105"/>
      <c r="AZ251" s="105"/>
      <c r="BA251" s="105"/>
      <c r="BB251" s="105"/>
      <c r="BC251" s="105"/>
      <c r="BD251" s="105"/>
      <c r="BE251" s="105"/>
      <c r="BF251" s="105"/>
      <c r="BG251" s="105"/>
      <c r="BH251" s="105"/>
      <c r="BI251" s="105"/>
      <c r="BJ251" s="105"/>
      <c r="BK251" s="105"/>
      <c r="BL251" s="105"/>
      <c r="BM251" s="105"/>
      <c r="BN251" s="105"/>
      <c r="BO251" s="105"/>
      <c r="BP251" s="105"/>
      <c r="BQ251" s="105"/>
      <c r="BR251" s="105"/>
      <c r="BS251" s="105"/>
      <c r="BT251" s="105"/>
      <c r="BU251" s="105"/>
      <c r="BV251" s="105"/>
      <c r="BW251" s="105"/>
      <c r="BX251" s="105"/>
      <c r="BY251" s="105"/>
      <c r="BZ251" s="105"/>
      <c r="CA251" s="105"/>
      <c r="CB251" s="105"/>
      <c r="CC251" s="105"/>
      <c r="CD251" s="105"/>
      <c r="CE251" s="105"/>
      <c r="CF251" s="105"/>
      <c r="CG251" s="105"/>
      <c r="CH251" s="105"/>
      <c r="CI251" s="105"/>
      <c r="CJ251" s="105"/>
      <c r="CK251" s="105"/>
      <c r="CL251" s="105"/>
      <c r="CM251" s="105"/>
      <c r="CN251" s="105"/>
      <c r="CO251" s="105"/>
      <c r="CP251" s="105"/>
      <c r="CQ251" s="105"/>
      <c r="CR251" s="105"/>
      <c r="CS251" s="105"/>
      <c r="CT251" s="105"/>
      <c r="CU251" s="105"/>
      <c r="CV251" s="105"/>
      <c r="CW251" s="105"/>
      <c r="CX251" s="105"/>
      <c r="CY251" s="105"/>
      <c r="CZ251" s="104"/>
      <c r="DA251" s="105"/>
      <c r="DB251" s="105"/>
      <c r="DC251" s="105"/>
      <c r="DD251" s="105"/>
      <c r="DE251" s="105"/>
      <c r="DF251" s="105"/>
      <c r="DG251" s="105"/>
      <c r="DH251" s="105"/>
      <c r="DI251" s="105"/>
      <c r="DJ251" s="105"/>
      <c r="DK251" s="104"/>
      <c r="DL251" s="104"/>
    </row>
    <row r="252" ht="12.0" customHeight="1">
      <c r="A252" s="104"/>
      <c r="B252" s="104"/>
      <c r="C252" s="243"/>
      <c r="D252" s="243"/>
      <c r="E252" s="243"/>
      <c r="F252" s="243"/>
      <c r="G252" s="243"/>
      <c r="H252" s="243"/>
      <c r="I252" s="243"/>
      <c r="J252" s="243"/>
      <c r="K252" s="243"/>
      <c r="L252" s="243"/>
      <c r="M252" s="243"/>
      <c r="N252" s="243"/>
      <c r="O252" s="243"/>
      <c r="P252" s="243"/>
      <c r="Q252" s="243"/>
      <c r="R252" s="243"/>
      <c r="S252" s="243"/>
      <c r="T252" s="243"/>
      <c r="U252" s="243"/>
      <c r="V252" s="243"/>
      <c r="W252" s="243"/>
      <c r="X252" s="243"/>
      <c r="Y252" s="243"/>
      <c r="Z252" s="243"/>
      <c r="AA252" s="243"/>
      <c r="AB252" s="243"/>
      <c r="AC252" s="105"/>
      <c r="AD252" s="105"/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/>
      <c r="AO252" s="105"/>
      <c r="AP252" s="105"/>
      <c r="AQ252" s="105"/>
      <c r="AR252" s="105"/>
      <c r="AS252" s="105"/>
      <c r="AT252" s="105"/>
      <c r="AU252" s="105"/>
      <c r="AV252" s="105"/>
      <c r="AW252" s="105"/>
      <c r="AX252" s="105"/>
      <c r="AY252" s="105"/>
      <c r="AZ252" s="105"/>
      <c r="BA252" s="105"/>
      <c r="BB252" s="105"/>
      <c r="BC252" s="105"/>
      <c r="BD252" s="105"/>
      <c r="BE252" s="105"/>
      <c r="BF252" s="105"/>
      <c r="BG252" s="105"/>
      <c r="BH252" s="105"/>
      <c r="BI252" s="105"/>
      <c r="BJ252" s="105"/>
      <c r="BK252" s="105"/>
      <c r="BL252" s="105"/>
      <c r="BM252" s="105"/>
      <c r="BN252" s="105"/>
      <c r="BO252" s="105"/>
      <c r="BP252" s="105"/>
      <c r="BQ252" s="105"/>
      <c r="BR252" s="105"/>
      <c r="BS252" s="105"/>
      <c r="BT252" s="105"/>
      <c r="BU252" s="105"/>
      <c r="BV252" s="105"/>
      <c r="BW252" s="105"/>
      <c r="BX252" s="105"/>
      <c r="BY252" s="105"/>
      <c r="BZ252" s="105"/>
      <c r="CA252" s="105"/>
      <c r="CB252" s="105"/>
      <c r="CC252" s="105"/>
      <c r="CD252" s="105"/>
      <c r="CE252" s="105"/>
      <c r="CF252" s="105"/>
      <c r="CG252" s="105"/>
      <c r="CH252" s="105"/>
      <c r="CI252" s="105"/>
      <c r="CJ252" s="105"/>
      <c r="CK252" s="105"/>
      <c r="CL252" s="105"/>
      <c r="CM252" s="105"/>
      <c r="CN252" s="105"/>
      <c r="CO252" s="105"/>
      <c r="CP252" s="105"/>
      <c r="CQ252" s="105"/>
      <c r="CR252" s="105"/>
      <c r="CS252" s="105"/>
      <c r="CT252" s="105"/>
      <c r="CU252" s="105"/>
      <c r="CV252" s="105"/>
      <c r="CW252" s="105"/>
      <c r="CX252" s="105"/>
      <c r="CY252" s="105"/>
      <c r="CZ252" s="104"/>
      <c r="DA252" s="105"/>
      <c r="DB252" s="105"/>
      <c r="DC252" s="105"/>
      <c r="DD252" s="105"/>
      <c r="DE252" s="105"/>
      <c r="DF252" s="105"/>
      <c r="DG252" s="105"/>
      <c r="DH252" s="105"/>
      <c r="DI252" s="105"/>
      <c r="DJ252" s="105"/>
      <c r="DK252" s="104"/>
      <c r="DL252" s="104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0"/>
  <cols>
    <col customWidth="1" min="1" max="1" width="8.71"/>
    <col customWidth="1" min="2" max="2" width="28.71"/>
    <col customWidth="1" hidden="1" min="3" max="13" width="10.29"/>
    <col customWidth="1" hidden="1" min="14" max="14" width="13.57"/>
    <col customWidth="1" min="15" max="15" width="21.86"/>
    <col customWidth="1" min="16" max="54" width="10.29"/>
    <col customWidth="1" min="55" max="55" width="10.86"/>
    <col customWidth="1" min="56" max="56" width="10.29"/>
    <col customWidth="1" min="57" max="57" width="31.14"/>
    <col customWidth="1" min="58" max="63" width="7.86"/>
    <col customWidth="1" min="64" max="64" width="5.29"/>
    <col customWidth="1" min="65" max="65" width="10.29"/>
    <col customWidth="1" min="66" max="67" width="10.86"/>
    <col customWidth="1" min="68" max="68" width="8.71"/>
    <col customWidth="1" min="69" max="73" width="10.29"/>
    <col customWidth="1" hidden="1" min="74" max="74" width="10.29"/>
    <col customWidth="1" hidden="1" min="75" max="75" width="33.29"/>
    <col customWidth="1" hidden="1" min="76" max="76" width="6.57"/>
    <col customWidth="1" hidden="1" min="77" max="79" width="6.14"/>
    <col customWidth="1" hidden="1" min="80" max="80" width="5.86"/>
    <col customWidth="1" hidden="1" min="81" max="81" width="6.14"/>
    <col customWidth="1" hidden="1" min="82" max="82" width="5.86"/>
    <col customWidth="1" hidden="1" min="83" max="84" width="14.43"/>
  </cols>
  <sheetData>
    <row r="1" ht="12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164</v>
      </c>
      <c r="P1" s="2"/>
      <c r="Q1" s="2"/>
      <c r="R1" s="2"/>
      <c r="S1" s="2"/>
      <c r="T1" s="2"/>
      <c r="U1" s="2"/>
      <c r="V1" s="2"/>
      <c r="W1" s="2">
        <f t="shared" ref="W1:X1" si="1">W24/W7/W8</f>
        <v>371.5243318</v>
      </c>
      <c r="X1" s="2">
        <f t="shared" si="1"/>
        <v>180.1715757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11"/>
      <c r="BW1" s="11"/>
      <c r="BX1" s="251"/>
      <c r="BY1" s="11"/>
      <c r="BZ1" s="11"/>
      <c r="CA1" s="11"/>
      <c r="CB1" s="11"/>
      <c r="CC1" s="11"/>
      <c r="CD1" s="11"/>
    </row>
    <row r="2" ht="12.0" customHeight="1">
      <c r="A2" s="6"/>
      <c r="B2" s="7" t="s">
        <v>1</v>
      </c>
      <c r="C2" s="8">
        <f>'SDDPL '!C2+Govind!C2+Parag!C2</f>
        <v>7544338</v>
      </c>
      <c r="D2" s="8">
        <f>'SDDPL '!D2+Govind!D2+Parag!D2</f>
        <v>8272740</v>
      </c>
      <c r="E2" s="8">
        <f>'SDDPL '!E2+Govind!E2+Parag!E2</f>
        <v>10211788</v>
      </c>
      <c r="F2" s="8">
        <f>'SDDPL '!F2+Govind!F2+Parag!F2</f>
        <v>10179848</v>
      </c>
      <c r="G2" s="8">
        <f>'SDDPL '!G2+Govind!G2+Parag!G2</f>
        <v>9679051</v>
      </c>
      <c r="H2" s="8">
        <f>'SDDPL '!H2+Govind!H2+Parag!H2</f>
        <v>10900423</v>
      </c>
      <c r="I2" s="8">
        <f>'SDDPL '!I2+Govind!I2+Parag!I2</f>
        <v>10640054</v>
      </c>
      <c r="J2" s="8">
        <f>'SDDPL '!J2+Govind!J2+Parag!J2</f>
        <v>9965318</v>
      </c>
      <c r="K2" s="8">
        <f>'SDDPL '!K2+Govind!K2+Parag!K2</f>
        <v>8401916</v>
      </c>
      <c r="L2" s="8">
        <f>'SDDPL '!L2+Govind!L2+Parag!L2</f>
        <v>7577091</v>
      </c>
      <c r="M2" s="8">
        <f>'SDDPL '!M2+Govind!M2+Parag!M2</f>
        <v>6888875</v>
      </c>
      <c r="N2" s="8">
        <f>'SDDPL '!N2+Govind!N2+Parag!N2</f>
        <v>8034364</v>
      </c>
      <c r="O2" s="252">
        <f t="shared" ref="O2:O3" si="2">AVERAGE(C2:N2)</f>
        <v>9024650.5</v>
      </c>
      <c r="P2" s="8">
        <f>'SDDPL '!P2+Govind!P2+Parag!P2</f>
        <v>6584839</v>
      </c>
      <c r="Q2" s="8">
        <f>'SDDPL '!Q2+Govind!Q2+Parag!Q2</f>
        <v>5715173</v>
      </c>
      <c r="R2" s="8">
        <f>'SDDPL '!R2+Govind!R2+Parag!R2</f>
        <v>6924706</v>
      </c>
      <c r="S2" s="8">
        <f>'SDDPL '!S2+Govind!S2+Parag!S2</f>
        <v>6439982</v>
      </c>
      <c r="T2" s="8">
        <f>'SDDPL '!T2+Govind!T2+Parag!T2</f>
        <v>8031126</v>
      </c>
      <c r="U2" s="8">
        <f>'SDDPL '!U2+Govind!U2+Parag!U2</f>
        <v>6580132</v>
      </c>
      <c r="V2" s="8">
        <f>'SDDPL '!V2+Govind!V2+Parag!V2</f>
        <v>11175249</v>
      </c>
      <c r="W2" s="8">
        <f>'SDDPL '!W2+Govind!W2+Parag!W2</f>
        <v>7282704</v>
      </c>
      <c r="X2" s="8">
        <f>'SDDPL '!X2+Govind!X2+Parag!X2</f>
        <v>5614022.3</v>
      </c>
      <c r="Y2" s="8">
        <f>'SDDPL '!Y2+Govind!Y2+Parag!Y2</f>
        <v>6684645</v>
      </c>
      <c r="Z2" s="8">
        <f>'SDDPL '!Z2+Govind!Z2+Parag!Z2</f>
        <v>6900900</v>
      </c>
      <c r="AA2" s="8">
        <f>'SDDPL '!AA2+Govind!AA2+Parag!AA2</f>
        <v>7451998</v>
      </c>
      <c r="AB2" s="252">
        <f t="shared" ref="AB2:AB3" si="3">AVERAGE(P2:AA2)</f>
        <v>7115456.358</v>
      </c>
      <c r="AC2" s="8">
        <f>'SDDPL '!AC2+Govind!AC2+Parag!AC2</f>
        <v>7612675</v>
      </c>
      <c r="AD2" s="8">
        <f>'SDDPL '!AD2+Govind!AD2+Parag!AD2</f>
        <v>6652296.92</v>
      </c>
      <c r="AE2" s="8">
        <f>'SDDPL '!AE2+Govind!AE2+Parag!AE2</f>
        <v>6919730.96</v>
      </c>
      <c r="AF2" s="8">
        <f>'SDDPL '!AF2+Govind!AF2+Parag!AF2</f>
        <v>6797485.41</v>
      </c>
      <c r="AG2" s="8">
        <f>'SDDPL '!AG2+Govind!AG2+Parag!AG2</f>
        <v>7375474.28</v>
      </c>
      <c r="AH2" s="8">
        <f>'SDDPL '!AH2+Govind!AH2+Parag!AH2</f>
        <v>7369791.72</v>
      </c>
      <c r="AI2" s="8">
        <f>'SDDPL '!AI2+Govind!AI2+Parag!AI2</f>
        <v>7184054.46</v>
      </c>
      <c r="AJ2" s="8">
        <f>'SDDPL '!AJ2+Govind!AJ2+Parag!AJ2</f>
        <v>6747199.19</v>
      </c>
      <c r="AK2" s="8">
        <f>'SDDPL '!AK2+Govind!AK2+Parag!AK2</f>
        <v>6559499.9</v>
      </c>
      <c r="AL2" s="8">
        <f>'SDDPL '!AL2+Govind!AL2+Parag!AL2</f>
        <v>6824747.81</v>
      </c>
      <c r="AM2" s="8">
        <f>'SDDPL '!AM2+Govind!AM2+Parag!AM2</f>
        <v>6742494.48</v>
      </c>
      <c r="AN2" s="8">
        <f>'SDDPL '!AN2+Govind!AN2+Parag!AN2</f>
        <v>6798854.85</v>
      </c>
      <c r="AO2" s="252">
        <f t="shared" ref="AO2:AO3" si="4">SUM(AC2:AN2)</f>
        <v>83584304.98</v>
      </c>
      <c r="AP2" s="8">
        <f>'SDDPL '!AP2+Govind!AP2+Parag!AP2</f>
        <v>6750111.77</v>
      </c>
      <c r="AQ2" s="8">
        <f>'SDDPL '!AQ2+Govind!AQ2+Parag!AQ2</f>
        <v>5981403.7</v>
      </c>
      <c r="AR2" s="8">
        <f>'SDDPL '!AR2+Govind!AR2+Parag!AR2</f>
        <v>6543894.86</v>
      </c>
      <c r="AS2" s="8">
        <f>'SDDPL '!AS2+Govind!AS2+Parag!AS2</f>
        <v>6701576.38</v>
      </c>
      <c r="AT2" s="8">
        <f>'SDDPL '!AT2+Govind!AT2+Parag!AT2</f>
        <v>6970496.77</v>
      </c>
      <c r="AU2" s="8">
        <f>'SDDPL '!AU2+Govind!AU2+Parag!AU2</f>
        <v>6795676.83</v>
      </c>
      <c r="AV2" s="8">
        <f>'SDDPL '!AV2+Govind!AV2+Parag!AV2</f>
        <v>0</v>
      </c>
      <c r="AW2" s="8">
        <f>'SDDPL '!AW2+Govind!AW2+Parag!AW2</f>
        <v>0</v>
      </c>
      <c r="AX2" s="8">
        <f>'SDDPL '!AX2+Govind!AX2+Parag!AX2</f>
        <v>0</v>
      </c>
      <c r="AY2" s="8">
        <f>'SDDPL '!AY2+Govind!AY2+Parag!AY2</f>
        <v>0</v>
      </c>
      <c r="AZ2" s="8">
        <f>'SDDPL '!AZ2+Govind!AZ2+Parag!AZ2</f>
        <v>0</v>
      </c>
      <c r="BA2" s="8">
        <f>'SDDPL '!BA2+Govind!BA2+Parag!BA2</f>
        <v>0</v>
      </c>
      <c r="BB2" s="10">
        <f t="shared" ref="BB2:BB3" si="5">SUM(AP2:BA2)</f>
        <v>39743160.31</v>
      </c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1"/>
      <c r="BW2" s="11">
        <f>'SDDPL '!CA2+Govind!DK2+Parag!DB1</f>
        <v>0.21</v>
      </c>
      <c r="BX2" s="251"/>
      <c r="BY2" s="11"/>
      <c r="BZ2" s="11"/>
      <c r="CA2" s="11"/>
      <c r="CB2" s="11"/>
      <c r="CC2" s="11"/>
      <c r="CD2" s="11"/>
    </row>
    <row r="3" ht="12.0" customHeight="1">
      <c r="A3" s="6"/>
      <c r="B3" s="12" t="s">
        <v>2</v>
      </c>
      <c r="C3" s="13">
        <f>'SDDPL '!C3+Govind!C3+Parag!C3</f>
        <v>4134430</v>
      </c>
      <c r="D3" s="13">
        <f>'SDDPL '!D3+Govind!D3+Parag!D3</f>
        <v>4671890</v>
      </c>
      <c r="E3" s="13">
        <f>'SDDPL '!E3+Govind!E3+Parag!E3</f>
        <v>5916393</v>
      </c>
      <c r="F3" s="13">
        <f>'SDDPL '!F3+Govind!F3+Parag!F3</f>
        <v>5854983</v>
      </c>
      <c r="G3" s="13">
        <f>'SDDPL '!G3+Govind!G3+Parag!G3</f>
        <v>5171138</v>
      </c>
      <c r="H3" s="13">
        <f>'SDDPL '!H3+Govind!H3+Parag!H3</f>
        <v>6320023</v>
      </c>
      <c r="I3" s="13">
        <f>'SDDPL '!I3+Govind!I3+Parag!I3</f>
        <v>5764014</v>
      </c>
      <c r="J3" s="13">
        <f>'SDDPL '!J3+Govind!J3+Parag!J3</f>
        <v>5468506</v>
      </c>
      <c r="K3" s="13">
        <f>'SDDPL '!K3+Govind!K3+Parag!K3</f>
        <v>4852550</v>
      </c>
      <c r="L3" s="13">
        <f>'SDDPL '!L3+Govind!L3+Parag!L3</f>
        <v>4661054</v>
      </c>
      <c r="M3" s="13">
        <f>'SDDPL '!M3+Govind!M3+Parag!M3</f>
        <v>4500109.352</v>
      </c>
      <c r="N3" s="13">
        <f>'SDDPL '!N3+Govind!N3+Parag!N3</f>
        <v>5577250</v>
      </c>
      <c r="O3" s="253">
        <f t="shared" si="2"/>
        <v>5241028.363</v>
      </c>
      <c r="P3" s="13">
        <f>'SDDPL '!P3+Govind!P3+Parag!P3</f>
        <v>5227534</v>
      </c>
      <c r="Q3" s="13">
        <f>'SDDPL '!Q3+Govind!Q3+Parag!Q3</f>
        <v>4363243</v>
      </c>
      <c r="R3" s="13">
        <f>'SDDPL '!R3+Govind!R3+Parag!R3</f>
        <v>4675433</v>
      </c>
      <c r="S3" s="13">
        <f>'SDDPL '!S3+Govind!S3+Parag!S3</f>
        <v>3782562</v>
      </c>
      <c r="T3" s="13">
        <f>'SDDPL '!T3+Govind!T3+Parag!T3</f>
        <v>5882701</v>
      </c>
      <c r="U3" s="13">
        <f>'SDDPL '!U3+Govind!U3+Parag!U3</f>
        <v>4607655</v>
      </c>
      <c r="V3" s="13">
        <f>'SDDPL '!V3+Govind!V3+Parag!V3</f>
        <v>7556684</v>
      </c>
      <c r="W3" s="13">
        <f>'SDDPL '!W3+Govind!W3+Parag!W3</f>
        <v>5727264</v>
      </c>
      <c r="X3" s="13">
        <f>'SDDPL '!X3+Govind!X3+Parag!X3</f>
        <v>4325209</v>
      </c>
      <c r="Y3" s="13">
        <f>'SDDPL '!Y3+Govind!Y3+Parag!Y3</f>
        <v>5014374</v>
      </c>
      <c r="Z3" s="13">
        <f>'SDDPL '!Z3+Govind!Z3+Parag!Z3</f>
        <v>5855970</v>
      </c>
      <c r="AA3" s="13">
        <f>'SDDPL '!AA3+Govind!AA3+Parag!AA3</f>
        <v>6251707</v>
      </c>
      <c r="AB3" s="253">
        <f t="shared" si="3"/>
        <v>5272528</v>
      </c>
      <c r="AC3" s="13">
        <f>'SDDPL '!AC3+Govind!AC3+Parag!AC3</f>
        <v>6789282</v>
      </c>
      <c r="AD3" s="13">
        <f>'SDDPL '!AD3+Govind!AD3+Parag!AD3</f>
        <v>6033838.59</v>
      </c>
      <c r="AE3" s="13">
        <f>'SDDPL '!AE3+Govind!AE3+Parag!AE3</f>
        <v>6035685.33</v>
      </c>
      <c r="AF3" s="13">
        <f>'SDDPL '!AF3+Govind!AF3+Parag!AF3</f>
        <v>5971630.3</v>
      </c>
      <c r="AG3" s="13">
        <f>'SDDPL '!AG3+Govind!AG3+Parag!AG3</f>
        <v>6567837.24</v>
      </c>
      <c r="AH3" s="13">
        <f>'SDDPL '!AH3+Govind!AH3+Parag!AH3</f>
        <v>6505041.26</v>
      </c>
      <c r="AI3" s="13">
        <f>'SDDPL '!AI3+Govind!AI3+Parag!AI3</f>
        <v>6368837.9</v>
      </c>
      <c r="AJ3" s="13">
        <f>'SDDPL '!AJ3+Govind!AJ3+Parag!AJ3</f>
        <v>5907283.52</v>
      </c>
      <c r="AK3" s="13">
        <f>'SDDPL '!AK3+Govind!AK3+Parag!AK3</f>
        <v>5697565.69</v>
      </c>
      <c r="AL3" s="13">
        <f>'SDDPL '!AL3+Govind!AL3+Parag!AL3</f>
        <v>5599149.18</v>
      </c>
      <c r="AM3" s="13">
        <f>'SDDPL '!AM3+Govind!AM3+Parag!AM3</f>
        <v>5142555.16</v>
      </c>
      <c r="AN3" s="13">
        <f>'SDDPL '!AN3+Govind!AN3+Parag!AN3</f>
        <v>6196499.01</v>
      </c>
      <c r="AO3" s="253">
        <f t="shared" si="4"/>
        <v>72815205.18</v>
      </c>
      <c r="AP3" s="13">
        <f>'SDDPL '!AP3+Govind!AP3+Parag!AP3</f>
        <v>6372942.64</v>
      </c>
      <c r="AQ3" s="13">
        <f>'SDDPL '!AQ3+Govind!AQ3+Parag!AQ3</f>
        <v>5616894.94</v>
      </c>
      <c r="AR3" s="13">
        <f>'SDDPL '!AR3+Govind!AR3+Parag!AR3</f>
        <v>6101291.72</v>
      </c>
      <c r="AS3" s="13">
        <f>'SDDPL '!AS3+Govind!AS3+Parag!AS3</f>
        <v>6180819.04</v>
      </c>
      <c r="AT3" s="13">
        <f>'SDDPL '!AT3+Govind!AT3+Parag!AT3</f>
        <v>6399658.64</v>
      </c>
      <c r="AU3" s="13">
        <f>'SDDPL '!AU3+Govind!AU3+Parag!AU3</f>
        <v>6159450.31</v>
      </c>
      <c r="AV3" s="13">
        <f>'SDDPL '!AV3+Govind!AV3+Parag!AV3</f>
        <v>0</v>
      </c>
      <c r="AW3" s="13">
        <f>'SDDPL '!AW3+Govind!AW3+Parag!AW3</f>
        <v>0</v>
      </c>
      <c r="AX3" s="13">
        <f>'SDDPL '!AX3+Govind!AX3+Parag!AX3</f>
        <v>0</v>
      </c>
      <c r="AY3" s="13">
        <f>'SDDPL '!AY3+Govind!AY3+Parag!AY3</f>
        <v>0</v>
      </c>
      <c r="AZ3" s="13">
        <f>'SDDPL '!AZ3+Govind!AZ3+Parag!AZ3</f>
        <v>0</v>
      </c>
      <c r="BA3" s="13">
        <f>'SDDPL '!BA3+Govind!BA3+Parag!BA3</f>
        <v>0</v>
      </c>
      <c r="BB3" s="15">
        <f t="shared" si="5"/>
        <v>36831057.29</v>
      </c>
      <c r="BC3" s="254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1"/>
      <c r="BW3" s="33"/>
      <c r="BX3" s="33" t="s">
        <v>55</v>
      </c>
      <c r="BY3" s="33" t="s">
        <v>56</v>
      </c>
      <c r="BZ3" s="255"/>
      <c r="CA3" s="256" t="s">
        <v>57</v>
      </c>
      <c r="CB3" s="71"/>
      <c r="CC3" s="33" t="s">
        <v>58</v>
      </c>
      <c r="CD3" s="255"/>
    </row>
    <row r="4" ht="12.0" customHeight="1">
      <c r="A4" s="6"/>
      <c r="B4" s="17" t="s">
        <v>3</v>
      </c>
      <c r="C4" s="18">
        <f t="shared" ref="C4:AO4" si="6">C3/C2</f>
        <v>0.5480175994</v>
      </c>
      <c r="D4" s="18">
        <f t="shared" si="6"/>
        <v>0.5647330872</v>
      </c>
      <c r="E4" s="18">
        <f t="shared" si="6"/>
        <v>0.5793689607</v>
      </c>
      <c r="F4" s="18">
        <f t="shared" si="6"/>
        <v>0.5751542656</v>
      </c>
      <c r="G4" s="18">
        <f t="shared" si="6"/>
        <v>0.5342608485</v>
      </c>
      <c r="H4" s="18">
        <f t="shared" si="6"/>
        <v>0.5797961235</v>
      </c>
      <c r="I4" s="18">
        <f t="shared" si="6"/>
        <v>0.5417278897</v>
      </c>
      <c r="J4" s="18">
        <f t="shared" si="6"/>
        <v>0.5487537879</v>
      </c>
      <c r="K4" s="18">
        <f t="shared" si="6"/>
        <v>0.5775527868</v>
      </c>
      <c r="L4" s="18">
        <f t="shared" si="6"/>
        <v>0.6151508541</v>
      </c>
      <c r="M4" s="18">
        <f t="shared" si="6"/>
        <v>0.6532429972</v>
      </c>
      <c r="N4" s="18">
        <f t="shared" si="6"/>
        <v>0.6941744238</v>
      </c>
      <c r="O4" s="257">
        <f t="shared" si="6"/>
        <v>0.5807458541</v>
      </c>
      <c r="P4" s="258">
        <f t="shared" si="6"/>
        <v>0.7938742314</v>
      </c>
      <c r="Q4" s="258">
        <f t="shared" si="6"/>
        <v>0.7634489805</v>
      </c>
      <c r="R4" s="258">
        <f t="shared" si="6"/>
        <v>0.6751814445</v>
      </c>
      <c r="S4" s="258">
        <f t="shared" si="6"/>
        <v>0.5873559895</v>
      </c>
      <c r="T4" s="258">
        <f t="shared" si="6"/>
        <v>0.7324876985</v>
      </c>
      <c r="U4" s="258">
        <f t="shared" si="6"/>
        <v>0.7002374724</v>
      </c>
      <c r="V4" s="258">
        <f t="shared" si="6"/>
        <v>0.6761982664</v>
      </c>
      <c r="W4" s="258">
        <f t="shared" si="6"/>
        <v>0.7864199891</v>
      </c>
      <c r="X4" s="258">
        <f t="shared" si="6"/>
        <v>0.770429608</v>
      </c>
      <c r="Y4" s="258">
        <f t="shared" si="6"/>
        <v>0.7501331784</v>
      </c>
      <c r="Z4" s="18">
        <f t="shared" si="6"/>
        <v>0.8485806199</v>
      </c>
      <c r="AA4" s="18">
        <f t="shared" si="6"/>
        <v>0.838930311</v>
      </c>
      <c r="AB4" s="257">
        <f t="shared" si="6"/>
        <v>0.7409964638</v>
      </c>
      <c r="AC4" s="18">
        <f t="shared" si="6"/>
        <v>0.8918392024</v>
      </c>
      <c r="AD4" s="18">
        <f t="shared" si="6"/>
        <v>0.907030859</v>
      </c>
      <c r="AE4" s="18">
        <f t="shared" si="6"/>
        <v>0.8722427743</v>
      </c>
      <c r="AF4" s="18">
        <f t="shared" si="6"/>
        <v>0.8785057915</v>
      </c>
      <c r="AG4" s="18">
        <f t="shared" si="6"/>
        <v>0.8904969349</v>
      </c>
      <c r="AH4" s="18">
        <f t="shared" si="6"/>
        <v>0.882662836</v>
      </c>
      <c r="AI4" s="18">
        <f t="shared" si="6"/>
        <v>0.8865241676</v>
      </c>
      <c r="AJ4" s="18">
        <f t="shared" si="6"/>
        <v>0.8755163963</v>
      </c>
      <c r="AK4" s="18">
        <f t="shared" si="6"/>
        <v>0.8685975725</v>
      </c>
      <c r="AL4" s="18">
        <f t="shared" si="6"/>
        <v>0.8204184735</v>
      </c>
      <c r="AM4" s="18">
        <f t="shared" si="6"/>
        <v>0.7627081009</v>
      </c>
      <c r="AN4" s="18">
        <f t="shared" si="6"/>
        <v>0.9114033388</v>
      </c>
      <c r="AO4" s="257">
        <f t="shared" si="6"/>
        <v>0.8711588282</v>
      </c>
      <c r="AP4" s="18">
        <f t="shared" ref="AP4:BA4" si="7">IFERROR(AP3/AP2,0)</f>
        <v>0.9441240171</v>
      </c>
      <c r="AQ4" s="18">
        <f t="shared" si="7"/>
        <v>0.9390596625</v>
      </c>
      <c r="AR4" s="18">
        <f t="shared" si="7"/>
        <v>0.9323639592</v>
      </c>
      <c r="AS4" s="18">
        <f t="shared" si="7"/>
        <v>0.9222933068</v>
      </c>
      <c r="AT4" s="18">
        <f t="shared" si="7"/>
        <v>0.9181065355</v>
      </c>
      <c r="AU4" s="18">
        <f t="shared" si="7"/>
        <v>0.9063777552</v>
      </c>
      <c r="AV4" s="18">
        <f t="shared" si="7"/>
        <v>0</v>
      </c>
      <c r="AW4" s="18">
        <f t="shared" si="7"/>
        <v>0</v>
      </c>
      <c r="AX4" s="18">
        <f t="shared" si="7"/>
        <v>0</v>
      </c>
      <c r="AY4" s="18">
        <f t="shared" si="7"/>
        <v>0</v>
      </c>
      <c r="AZ4" s="18">
        <f t="shared" si="7"/>
        <v>0</v>
      </c>
      <c r="BA4" s="18">
        <f t="shared" si="7"/>
        <v>0</v>
      </c>
      <c r="BB4" s="19">
        <f>BB3/BB2</f>
        <v>0.9267269387</v>
      </c>
      <c r="BC4" s="13"/>
      <c r="BD4" s="259"/>
      <c r="BE4" s="259"/>
      <c r="BF4" s="259"/>
      <c r="BG4" s="259"/>
      <c r="BH4" s="259"/>
      <c r="BI4" s="259"/>
      <c r="BJ4" s="259"/>
      <c r="BK4" s="259"/>
      <c r="BL4" s="259"/>
      <c r="BM4" s="259"/>
      <c r="BN4" s="259"/>
      <c r="BO4" s="259"/>
      <c r="BP4" s="259"/>
      <c r="BQ4" s="259"/>
      <c r="BR4" s="259"/>
      <c r="BS4" s="259"/>
      <c r="BT4" s="259"/>
      <c r="BU4" s="259"/>
      <c r="BV4" s="11"/>
      <c r="BW4" s="42" t="s">
        <v>60</v>
      </c>
      <c r="BX4" s="43" t="s">
        <v>61</v>
      </c>
      <c r="BY4" s="44" t="s">
        <v>62</v>
      </c>
      <c r="BZ4" s="45" t="s">
        <v>63</v>
      </c>
      <c r="CA4" s="44" t="s">
        <v>62</v>
      </c>
      <c r="CB4" s="45" t="s">
        <v>63</v>
      </c>
      <c r="CC4" s="44" t="s">
        <v>62</v>
      </c>
      <c r="CD4" s="45" t="s">
        <v>63</v>
      </c>
    </row>
    <row r="5" ht="12.0" customHeight="1">
      <c r="A5" s="6"/>
      <c r="B5" s="23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4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259"/>
      <c r="BD5" s="259"/>
      <c r="BE5" s="259"/>
      <c r="BF5" s="259"/>
      <c r="BG5" s="259"/>
      <c r="BH5" s="259"/>
      <c r="BI5" s="259"/>
      <c r="BJ5" s="259"/>
      <c r="BK5" s="259"/>
      <c r="BL5" s="259"/>
      <c r="BM5" s="259"/>
      <c r="BN5" s="259"/>
      <c r="BO5" s="259"/>
      <c r="BP5" s="259"/>
      <c r="BQ5" s="259"/>
      <c r="BR5" s="259"/>
      <c r="BS5" s="259"/>
      <c r="BT5" s="259"/>
      <c r="BU5" s="259"/>
      <c r="BV5" s="259"/>
      <c r="BW5" s="46" t="s">
        <v>66</v>
      </c>
      <c r="BX5" s="41">
        <f t="shared" ref="BX5:CA5" si="8">BX15</f>
        <v>61.72999073</v>
      </c>
      <c r="BY5" s="41">
        <f t="shared" si="8"/>
        <v>74.621935</v>
      </c>
      <c r="BZ5" s="41">
        <f t="shared" si="8"/>
        <v>75.40670483</v>
      </c>
      <c r="CA5" s="41">
        <f t="shared" si="8"/>
        <v>80.88058</v>
      </c>
      <c r="CB5" s="41"/>
      <c r="CC5" s="41">
        <f>CC15</f>
        <v>92.22333333</v>
      </c>
      <c r="CD5" s="41"/>
    </row>
    <row r="6" ht="12.0" customHeight="1">
      <c r="A6" s="24"/>
      <c r="B6" s="25" t="s">
        <v>5</v>
      </c>
      <c r="C6" s="26" t="s">
        <v>6</v>
      </c>
      <c r="D6" s="26" t="s">
        <v>7</v>
      </c>
      <c r="E6" s="26" t="s">
        <v>8</v>
      </c>
      <c r="F6" s="26" t="s">
        <v>9</v>
      </c>
      <c r="G6" s="26" t="s">
        <v>10</v>
      </c>
      <c r="H6" s="26" t="s">
        <v>11</v>
      </c>
      <c r="I6" s="26" t="s">
        <v>12</v>
      </c>
      <c r="J6" s="26" t="s">
        <v>13</v>
      </c>
      <c r="K6" s="26" t="s">
        <v>14</v>
      </c>
      <c r="L6" s="26" t="s">
        <v>15</v>
      </c>
      <c r="M6" s="26" t="s">
        <v>16</v>
      </c>
      <c r="N6" s="26" t="s">
        <v>17</v>
      </c>
      <c r="O6" s="260">
        <v>2022.0</v>
      </c>
      <c r="P6" s="26" t="s">
        <v>19</v>
      </c>
      <c r="Q6" s="26" t="s">
        <v>20</v>
      </c>
      <c r="R6" s="26" t="s">
        <v>21</v>
      </c>
      <c r="S6" s="26" t="s">
        <v>22</v>
      </c>
      <c r="T6" s="28" t="s">
        <v>23</v>
      </c>
      <c r="U6" s="26" t="s">
        <v>24</v>
      </c>
      <c r="V6" s="26" t="s">
        <v>25</v>
      </c>
      <c r="W6" s="26" t="s">
        <v>26</v>
      </c>
      <c r="X6" s="29" t="s">
        <v>27</v>
      </c>
      <c r="Y6" s="29" t="s">
        <v>28</v>
      </c>
      <c r="Z6" s="29" t="s">
        <v>29</v>
      </c>
      <c r="AA6" s="29" t="s">
        <v>30</v>
      </c>
      <c r="AB6" s="260">
        <v>2023.0</v>
      </c>
      <c r="AC6" s="29" t="s">
        <v>31</v>
      </c>
      <c r="AD6" s="31" t="s">
        <v>32</v>
      </c>
      <c r="AE6" s="31" t="s">
        <v>33</v>
      </c>
      <c r="AF6" s="31" t="s">
        <v>34</v>
      </c>
      <c r="AG6" s="31" t="s">
        <v>35</v>
      </c>
      <c r="AH6" s="31" t="s">
        <v>36</v>
      </c>
      <c r="AI6" s="31" t="s">
        <v>37</v>
      </c>
      <c r="AJ6" s="31" t="s">
        <v>38</v>
      </c>
      <c r="AK6" s="31" t="s">
        <v>39</v>
      </c>
      <c r="AL6" s="31" t="s">
        <v>40</v>
      </c>
      <c r="AM6" s="31" t="s">
        <v>41</v>
      </c>
      <c r="AN6" s="31" t="s">
        <v>42</v>
      </c>
      <c r="AO6" s="260">
        <v>2024.0</v>
      </c>
      <c r="AP6" s="31" t="s">
        <v>43</v>
      </c>
      <c r="AQ6" s="31" t="s">
        <v>44</v>
      </c>
      <c r="AR6" s="31" t="s">
        <v>45</v>
      </c>
      <c r="AS6" s="31" t="s">
        <v>46</v>
      </c>
      <c r="AT6" s="31" t="s">
        <v>47</v>
      </c>
      <c r="AU6" s="31" t="s">
        <v>48</v>
      </c>
      <c r="AV6" s="31" t="s">
        <v>49</v>
      </c>
      <c r="AW6" s="31" t="s">
        <v>50</v>
      </c>
      <c r="AX6" s="31" t="s">
        <v>51</v>
      </c>
      <c r="AY6" s="31" t="s">
        <v>52</v>
      </c>
      <c r="AZ6" s="31" t="s">
        <v>53</v>
      </c>
      <c r="BA6" s="31" t="s">
        <v>54</v>
      </c>
      <c r="BB6" s="260">
        <v>2025.0</v>
      </c>
      <c r="BC6" s="259"/>
      <c r="BD6" s="259"/>
      <c r="BE6" s="117"/>
      <c r="BF6" s="193" t="s">
        <v>55</v>
      </c>
      <c r="BG6" s="193" t="s">
        <v>56</v>
      </c>
      <c r="BH6" s="193"/>
      <c r="BI6" s="193" t="s">
        <v>57</v>
      </c>
      <c r="BJ6" s="193"/>
      <c r="BK6" s="193" t="s">
        <v>58</v>
      </c>
      <c r="BL6" s="193"/>
      <c r="BM6" s="259"/>
      <c r="BN6" s="259"/>
      <c r="BR6" s="259"/>
      <c r="BS6" s="259"/>
      <c r="BT6" s="259"/>
      <c r="BU6" s="259"/>
      <c r="BV6" s="259"/>
      <c r="BW6" s="46" t="s">
        <v>69</v>
      </c>
      <c r="BX6" s="41">
        <f>BX8*BX5</f>
        <v>17.2843974</v>
      </c>
      <c r="BY6" s="41">
        <f>SUM(P28:AA28)/10^6</f>
        <v>44.4407926</v>
      </c>
      <c r="BZ6" s="41">
        <f>SUM(P29:AA29)/10^6</f>
        <v>53.97852076</v>
      </c>
      <c r="CA6" s="41">
        <f>SUM(AC28:AN28)/10^6</f>
        <v>68.3515086</v>
      </c>
      <c r="CB6" s="41"/>
      <c r="CC6" s="41">
        <f>CC8*CC5</f>
        <v>83.001</v>
      </c>
      <c r="CD6" s="41"/>
    </row>
    <row r="7" ht="12.0" customHeight="1">
      <c r="A7" s="6"/>
      <c r="B7" s="36" t="s">
        <v>59</v>
      </c>
      <c r="C7" s="37">
        <v>31.0</v>
      </c>
      <c r="D7" s="37">
        <v>28.0</v>
      </c>
      <c r="E7" s="37">
        <v>31.0</v>
      </c>
      <c r="F7" s="37">
        <v>30.0</v>
      </c>
      <c r="G7" s="37">
        <v>31.0</v>
      </c>
      <c r="H7" s="37">
        <v>30.0</v>
      </c>
      <c r="I7" s="37">
        <v>31.0</v>
      </c>
      <c r="J7" s="37">
        <v>31.0</v>
      </c>
      <c r="K7" s="37">
        <v>30.0</v>
      </c>
      <c r="L7" s="37">
        <v>31.0</v>
      </c>
      <c r="M7" s="37">
        <v>30.0</v>
      </c>
      <c r="N7" s="37">
        <v>31.0</v>
      </c>
      <c r="O7" s="73">
        <f>SUM(C7:N7)</f>
        <v>365</v>
      </c>
      <c r="P7" s="37">
        <v>31.0</v>
      </c>
      <c r="Q7" s="37">
        <v>28.0</v>
      </c>
      <c r="R7" s="37">
        <v>31.0</v>
      </c>
      <c r="S7" s="37">
        <v>30.0</v>
      </c>
      <c r="T7" s="38">
        <v>31.0</v>
      </c>
      <c r="U7" s="37">
        <v>30.0</v>
      </c>
      <c r="V7" s="37">
        <v>31.0</v>
      </c>
      <c r="W7" s="37">
        <v>31.0</v>
      </c>
      <c r="X7" s="37">
        <v>30.0</v>
      </c>
      <c r="Y7" s="37">
        <v>31.0</v>
      </c>
      <c r="Z7" s="37">
        <v>30.0</v>
      </c>
      <c r="AA7" s="37">
        <v>31.0</v>
      </c>
      <c r="AB7" s="73">
        <f>SUM(P7:AA7)</f>
        <v>365</v>
      </c>
      <c r="AC7" s="37">
        <v>31.0</v>
      </c>
      <c r="AD7" s="37">
        <v>29.0</v>
      </c>
      <c r="AE7" s="37">
        <v>31.0</v>
      </c>
      <c r="AF7" s="41">
        <v>30.0</v>
      </c>
      <c r="AG7" s="41">
        <v>31.0</v>
      </c>
      <c r="AH7" s="41">
        <v>30.0</v>
      </c>
      <c r="AI7" s="41">
        <v>31.0</v>
      </c>
      <c r="AJ7" s="41">
        <v>31.0</v>
      </c>
      <c r="AK7" s="41">
        <v>30.0</v>
      </c>
      <c r="AL7" s="41">
        <v>31.0</v>
      </c>
      <c r="AM7" s="41">
        <v>30.0</v>
      </c>
      <c r="AN7" s="41">
        <v>31.0</v>
      </c>
      <c r="AO7" s="73">
        <f>SUM(AC7:AN7)</f>
        <v>366</v>
      </c>
      <c r="AP7" s="41">
        <v>31.0</v>
      </c>
      <c r="AQ7" s="41">
        <v>28.0</v>
      </c>
      <c r="AR7" s="41">
        <v>31.0</v>
      </c>
      <c r="AS7" s="41">
        <v>30.0</v>
      </c>
      <c r="AT7" s="41">
        <v>31.0</v>
      </c>
      <c r="AU7" s="41">
        <v>30.0</v>
      </c>
      <c r="AV7" s="37">
        <v>31.0</v>
      </c>
      <c r="AW7" s="37">
        <v>31.0</v>
      </c>
      <c r="AX7" s="37">
        <v>30.0</v>
      </c>
      <c r="AY7" s="37">
        <v>31.0</v>
      </c>
      <c r="AZ7" s="37">
        <v>30.0</v>
      </c>
      <c r="BA7" s="37">
        <v>31.0</v>
      </c>
      <c r="BB7" s="73">
        <f>SUM(AP7:AU7)</f>
        <v>181</v>
      </c>
      <c r="BC7" s="259"/>
      <c r="BD7" s="259"/>
      <c r="BE7" s="199" t="s">
        <v>60</v>
      </c>
      <c r="BF7" s="200" t="s">
        <v>84</v>
      </c>
      <c r="BG7" s="201" t="s">
        <v>62</v>
      </c>
      <c r="BH7" s="202" t="s">
        <v>63</v>
      </c>
      <c r="BI7" s="203" t="s">
        <v>62</v>
      </c>
      <c r="BJ7" s="200" t="s">
        <v>63</v>
      </c>
      <c r="BK7" s="203" t="s">
        <v>62</v>
      </c>
      <c r="BL7" s="200" t="s">
        <v>63</v>
      </c>
      <c r="BM7" s="259"/>
      <c r="BN7" s="13">
        <f>SUM(P29:AA29)</f>
        <v>53978520.76</v>
      </c>
      <c r="BR7" s="259"/>
      <c r="BS7" s="259"/>
      <c r="BT7" s="259"/>
      <c r="BU7" s="259"/>
      <c r="BV7" s="259"/>
      <c r="BW7" s="46" t="s">
        <v>72</v>
      </c>
      <c r="BX7" s="41">
        <f t="shared" ref="BX7:CA7" si="9">BX6/365*10^6</f>
        <v>47354.51344</v>
      </c>
      <c r="BY7" s="41">
        <f t="shared" si="9"/>
        <v>121755.5962</v>
      </c>
      <c r="BZ7" s="41">
        <f t="shared" si="9"/>
        <v>147886.3583</v>
      </c>
      <c r="CA7" s="41">
        <f t="shared" si="9"/>
        <v>187264.4071</v>
      </c>
      <c r="CB7" s="41"/>
      <c r="CC7" s="41">
        <f>CC6/365*10^6</f>
        <v>227400</v>
      </c>
      <c r="CD7" s="41"/>
    </row>
    <row r="8" ht="12.0" customHeight="1">
      <c r="A8" s="6"/>
      <c r="B8" s="36" t="s">
        <v>64</v>
      </c>
      <c r="C8" s="37">
        <f>'SDDPL '!C8+Govind!C8+Parag!C8</f>
        <v>130</v>
      </c>
      <c r="D8" s="37">
        <f>'SDDPL '!D8+Govind!D8+Parag!D8</f>
        <v>130</v>
      </c>
      <c r="E8" s="37">
        <f>'SDDPL '!E8+Govind!E8+Parag!E8</f>
        <v>130</v>
      </c>
      <c r="F8" s="37">
        <f>'SDDPL '!F8+Govind!F8+Parag!F8</f>
        <v>130</v>
      </c>
      <c r="G8" s="37">
        <f>'SDDPL '!G8+Govind!G8+Parag!G8</f>
        <v>130</v>
      </c>
      <c r="H8" s="37">
        <f>'SDDPL '!H8+Govind!H8+Parag!H8</f>
        <v>130</v>
      </c>
      <c r="I8" s="37">
        <f>'SDDPL '!I8+Govind!I8+Parag!I8</f>
        <v>130</v>
      </c>
      <c r="J8" s="37">
        <f>'SDDPL '!J8+Govind!J8+Parag!J8</f>
        <v>130</v>
      </c>
      <c r="K8" s="37">
        <f>'SDDPL '!K8+Govind!K8+Parag!K8</f>
        <v>130</v>
      </c>
      <c r="L8" s="37">
        <f>'SDDPL '!L8+Govind!L8+Parag!L8</f>
        <v>130</v>
      </c>
      <c r="M8" s="37">
        <f>'SDDPL '!M8+Govind!M8+Parag!M8</f>
        <v>130</v>
      </c>
      <c r="N8" s="37">
        <f>'SDDPL '!N8+Govind!N8+Parag!N8</f>
        <v>130</v>
      </c>
      <c r="O8" s="73">
        <f t="shared" ref="O8:O9" si="12">AVERAGE(C8:N8)</f>
        <v>130</v>
      </c>
      <c r="P8" s="37">
        <f>'SDDPL '!P8+Govind!P8+Parag!P8</f>
        <v>130</v>
      </c>
      <c r="Q8" s="37">
        <f>'SDDPL '!Q8+Govind!Q8+Parag!Q8</f>
        <v>130</v>
      </c>
      <c r="R8" s="37">
        <f>'SDDPL '!R8+Govind!R8+Parag!R8</f>
        <v>130</v>
      </c>
      <c r="S8" s="37">
        <f>'SDDPL '!S8+Govind!S8+Parag!S8</f>
        <v>130</v>
      </c>
      <c r="T8" s="37">
        <f>'SDDPL '!T8+Govind!T8+Parag!T8</f>
        <v>130</v>
      </c>
      <c r="U8" s="37">
        <f>'SDDPL '!U8+Govind!U8+Parag!U8</f>
        <v>130</v>
      </c>
      <c r="V8" s="37">
        <f>'SDDPL '!V8+Govind!V8+Parag!V8</f>
        <v>130</v>
      </c>
      <c r="W8" s="37">
        <f>'SDDPL '!W8+Govind!W8+Parag!W8</f>
        <v>130</v>
      </c>
      <c r="X8" s="37">
        <f>'SDDPL '!X8+Govind!X8+Parag!X8</f>
        <v>130</v>
      </c>
      <c r="Y8" s="37">
        <f>'SDDPL '!Y8+Govind!Y8+Parag!Y8</f>
        <v>130</v>
      </c>
      <c r="Z8" s="37">
        <f>'SDDPL '!Z8+Govind!Z8+Parag!Z8</f>
        <v>130</v>
      </c>
      <c r="AA8" s="37">
        <f>'SDDPL '!AA8+Govind!AA8+Parag!AA8</f>
        <v>130</v>
      </c>
      <c r="AB8" s="73">
        <f t="shared" ref="AB8:AB9" si="13">AVERAGE(P8:AA8)</f>
        <v>130</v>
      </c>
      <c r="AC8" s="37">
        <f>'SDDPL '!AC8+Govind!AC8+Parag!AC8</f>
        <v>130</v>
      </c>
      <c r="AD8" s="37">
        <f>'SDDPL '!AD8+Govind!AD8+Parag!AD8</f>
        <v>130</v>
      </c>
      <c r="AE8" s="37">
        <f>'SDDPL '!AE8+Govind!AE8+Parag!AE8</f>
        <v>130</v>
      </c>
      <c r="AF8" s="37">
        <f>'SDDPL '!AF8+Govind!AF8+Parag!AF8</f>
        <v>130</v>
      </c>
      <c r="AG8" s="37">
        <f>'SDDPL '!AG8+Govind!AG8+Parag!AG8</f>
        <v>130</v>
      </c>
      <c r="AH8" s="37">
        <f>'SDDPL '!AH8+Govind!AH8+Parag!AH8</f>
        <v>130</v>
      </c>
      <c r="AI8" s="37">
        <f>'SDDPL '!AI8+Govind!AI8+Parag!AI8</f>
        <v>130</v>
      </c>
      <c r="AJ8" s="37">
        <f>'SDDPL '!AJ8+Govind!AJ8+Parag!AJ8</f>
        <v>124</v>
      </c>
      <c r="AK8" s="37">
        <f>'SDDPL '!AK8+Govind!AK8+Parag!AK8</f>
        <v>124</v>
      </c>
      <c r="AL8" s="37">
        <f>'SDDPL '!AL8+Govind!AL8+Parag!AL8</f>
        <v>124</v>
      </c>
      <c r="AM8" s="37">
        <f>'SDDPL '!AM8+Govind!AM8+Parag!AM8</f>
        <v>124</v>
      </c>
      <c r="AN8" s="37">
        <f>'SDDPL '!AN8+Govind!AN8+Parag!AN8</f>
        <v>124</v>
      </c>
      <c r="AO8" s="73">
        <f>'SDDPL '!AO8+Govind!AO8+Parag!AO8</f>
        <v>124</v>
      </c>
      <c r="AP8" s="37">
        <f>'SDDPL '!AP8+Govind!AP8+Parag!AP8</f>
        <v>123</v>
      </c>
      <c r="AQ8" s="37">
        <f>'SDDPL '!AQ8+Govind!AQ8+Parag!AQ8</f>
        <v>123</v>
      </c>
      <c r="AR8" s="37">
        <f>'SDDPL '!AR8+Govind!AR8+Parag!AR8</f>
        <v>122</v>
      </c>
      <c r="AS8" s="37">
        <f>'SDDPL '!AS8+Govind!AS8+Parag!AS8</f>
        <v>121</v>
      </c>
      <c r="AT8" s="37">
        <f>'SDDPL '!AT8+Govind!AT8+Parag!AT8</f>
        <v>122</v>
      </c>
      <c r="AU8" s="37">
        <f>'SDDPL '!AU8+Govind!AU8+Parag!AU8</f>
        <v>122</v>
      </c>
      <c r="AV8" s="37">
        <f>'SDDPL '!AV8+Govind!AV8+Parag!AV8</f>
        <v>122</v>
      </c>
      <c r="AW8" s="37">
        <f>'SDDPL '!AW8+Govind!AW8+Parag!AW8</f>
        <v>122</v>
      </c>
      <c r="AX8" s="37">
        <f>'SDDPL '!AX8+Govind!AX8+Parag!AX8</f>
        <v>122</v>
      </c>
      <c r="AY8" s="37">
        <f>'SDDPL '!AY8+Govind!AY8+Parag!AY8</f>
        <v>122</v>
      </c>
      <c r="AZ8" s="37">
        <f>'SDDPL '!AZ8+Govind!AZ8+Parag!AZ8</f>
        <v>122</v>
      </c>
      <c r="BA8" s="37">
        <f>'SDDPL '!BA8+Govind!BA8+Parag!BA8</f>
        <v>122</v>
      </c>
      <c r="BB8" s="73">
        <f>AVERAGE(AP8:BA8)</f>
        <v>122.0833333</v>
      </c>
      <c r="BC8" s="259"/>
      <c r="BD8" s="259"/>
      <c r="BE8" s="46" t="s">
        <v>65</v>
      </c>
      <c r="BF8" s="117">
        <f t="shared" ref="BF8:BK8" si="10">BF17</f>
        <v>61729990.73</v>
      </c>
      <c r="BG8" s="117">
        <f t="shared" si="10"/>
        <v>74621935</v>
      </c>
      <c r="BH8" s="117">
        <f t="shared" si="10"/>
        <v>75406704.83</v>
      </c>
      <c r="BI8" s="117">
        <f t="shared" si="10"/>
        <v>80880580</v>
      </c>
      <c r="BJ8" s="117">
        <f t="shared" si="10"/>
        <v>84049301.98</v>
      </c>
      <c r="BK8" s="117">
        <f t="shared" si="10"/>
        <v>91094298.75</v>
      </c>
      <c r="BL8" s="117"/>
      <c r="BM8" s="259"/>
      <c r="BN8" s="13">
        <f>SUM(AC29:AJ29)</f>
        <v>50591749.03</v>
      </c>
      <c r="BR8" s="259"/>
      <c r="BS8" s="259"/>
      <c r="BT8" s="259"/>
      <c r="BU8" s="259"/>
      <c r="BV8" s="259"/>
      <c r="BW8" s="51" t="s">
        <v>76</v>
      </c>
      <c r="BX8" s="52">
        <v>0.28</v>
      </c>
      <c r="BY8" s="52">
        <v>0.6</v>
      </c>
      <c r="BZ8" s="52">
        <f t="shared" ref="BZ8:CA8" si="11">BZ6/BZ5</f>
        <v>0.7158318466</v>
      </c>
      <c r="CA8" s="52">
        <f t="shared" si="11"/>
        <v>0.8450917216</v>
      </c>
      <c r="CB8" s="52"/>
      <c r="CC8" s="52">
        <v>0.9</v>
      </c>
      <c r="CD8" s="53"/>
    </row>
    <row r="9" ht="12.0" customHeight="1">
      <c r="A9" s="6"/>
      <c r="B9" s="36" t="s">
        <v>67</v>
      </c>
      <c r="C9" s="37">
        <f>'SDDPL '!C9+Govind!C9+Parag!C9</f>
        <v>310500</v>
      </c>
      <c r="D9" s="37">
        <f>'SDDPL '!D9+Govind!D9+Parag!D9</f>
        <v>310500</v>
      </c>
      <c r="E9" s="37">
        <f>'SDDPL '!E9+Govind!E9+Parag!E9</f>
        <v>310500</v>
      </c>
      <c r="F9" s="37">
        <f>'SDDPL '!F9+Govind!F9+Parag!F9</f>
        <v>310500</v>
      </c>
      <c r="G9" s="37">
        <f>'SDDPL '!G9+Govind!G9+Parag!G9</f>
        <v>310500</v>
      </c>
      <c r="H9" s="37">
        <f>'SDDPL '!H9+Govind!H9+Parag!H9</f>
        <v>310500</v>
      </c>
      <c r="I9" s="37">
        <f>'SDDPL '!I9+Govind!I9+Parag!I9</f>
        <v>310500</v>
      </c>
      <c r="J9" s="37">
        <f>'SDDPL '!J9+Govind!J9+Parag!J9</f>
        <v>310500</v>
      </c>
      <c r="K9" s="37">
        <f>'SDDPL '!K9+Govind!K9+Parag!K9</f>
        <v>310500</v>
      </c>
      <c r="L9" s="37">
        <f>'SDDPL '!L9+Govind!L9+Parag!L9</f>
        <v>310500</v>
      </c>
      <c r="M9" s="37">
        <f>'SDDPL '!M9+Govind!M9+Parag!M9</f>
        <v>310500</v>
      </c>
      <c r="N9" s="37">
        <f>'SDDPL '!N9+Govind!N9+Parag!N9</f>
        <v>310500</v>
      </c>
      <c r="O9" s="73">
        <f t="shared" si="12"/>
        <v>310500</v>
      </c>
      <c r="P9" s="37">
        <f>'SDDPL '!P9+Govind!P9+Parag!P9</f>
        <v>310500</v>
      </c>
      <c r="Q9" s="37">
        <f>'SDDPL '!Q9+Govind!Q9+Parag!Q9</f>
        <v>310500</v>
      </c>
      <c r="R9" s="37">
        <f>'SDDPL '!R9+Govind!R9+Parag!R9</f>
        <v>310500</v>
      </c>
      <c r="S9" s="37">
        <f>'SDDPL '!S9+Govind!S9+Parag!S9</f>
        <v>310500</v>
      </c>
      <c r="T9" s="37">
        <f>'SDDPL '!T9+Govind!T9+Parag!T9</f>
        <v>310500</v>
      </c>
      <c r="U9" s="37">
        <f>'SDDPL '!U9+Govind!U9+Parag!U9</f>
        <v>310500</v>
      </c>
      <c r="V9" s="37">
        <f>'SDDPL '!V9+Govind!V9+Parag!V9</f>
        <v>310500</v>
      </c>
      <c r="W9" s="37">
        <f>'SDDPL '!W9+Govind!W9+Parag!W9</f>
        <v>310500</v>
      </c>
      <c r="X9" s="37">
        <f>'SDDPL '!X9+Govind!X9+Parag!X9</f>
        <v>326500</v>
      </c>
      <c r="Y9" s="37">
        <f>'SDDPL '!Y9+Govind!Y9+Parag!Y9</f>
        <v>326500</v>
      </c>
      <c r="Z9" s="37">
        <f>'SDDPL '!Z9+Govind!Z9+Parag!Z9</f>
        <v>326500</v>
      </c>
      <c r="AA9" s="37">
        <f>'SDDPL '!AA9+Govind!AA9+Parag!AA9</f>
        <v>326500</v>
      </c>
      <c r="AB9" s="73">
        <f t="shared" si="13"/>
        <v>315833.3333</v>
      </c>
      <c r="AC9" s="37">
        <f>'SDDPL '!AC9+Govind!AC9+Parag!AC9</f>
        <v>326500</v>
      </c>
      <c r="AD9" s="37">
        <f>'SDDPL '!AD9+Govind!AD9+Parag!AD9</f>
        <v>326500</v>
      </c>
      <c r="AE9" s="37">
        <f>'SDDPL '!AE9+Govind!AE9+Parag!AE9</f>
        <v>326500</v>
      </c>
      <c r="AF9" s="37">
        <f>'SDDPL '!AF9+Govind!AF9+Parag!AF9</f>
        <v>326500</v>
      </c>
      <c r="AG9" s="37">
        <f>'SDDPL '!AG9+Govind!AG9+Parag!AG9</f>
        <v>326500</v>
      </c>
      <c r="AH9" s="37">
        <f>'SDDPL '!AH9+Govind!AH9+Parag!AH9</f>
        <v>326500</v>
      </c>
      <c r="AI9" s="37">
        <f>'SDDPL '!AI9+Govind!AI9+Parag!AI9</f>
        <v>326500</v>
      </c>
      <c r="AJ9" s="37">
        <f>'SDDPL '!AJ9+Govind!AJ9+Parag!AJ9</f>
        <v>312000</v>
      </c>
      <c r="AK9" s="37">
        <f>'SDDPL '!AK9+Govind!AK9+Parag!AK9</f>
        <v>312000</v>
      </c>
      <c r="AL9" s="37">
        <f>'SDDPL '!AL9+Govind!AL9+Parag!AL9</f>
        <v>316000</v>
      </c>
      <c r="AM9" s="37">
        <f>'SDDPL '!AM9+Govind!AM9+Parag!AM9</f>
        <v>320000</v>
      </c>
      <c r="AN9" s="37">
        <f>'SDDPL '!AN9+Govind!AN9+Parag!AN9</f>
        <v>320000</v>
      </c>
      <c r="AO9" s="73">
        <f>AVERAGE(AC9:AN9)</f>
        <v>322125</v>
      </c>
      <c r="AP9" s="37">
        <f>'SDDPL '!AP9+Govind!AP9+Parag!AP9</f>
        <v>318000</v>
      </c>
      <c r="AQ9" s="37">
        <f>'SDDPL '!AQ9+Govind!AQ9+Parag!AQ9</f>
        <v>312000</v>
      </c>
      <c r="AR9" s="37">
        <f>'SDDPL '!AR9+Govind!AR9+Parag!AR9</f>
        <v>312000</v>
      </c>
      <c r="AS9" s="37">
        <f>'SDDPL '!AS9+Govind!AS9+Parag!AS9</f>
        <v>315500</v>
      </c>
      <c r="AT9" s="37">
        <f>'SDDPL '!AT9+Govind!AT9+Parag!AT9</f>
        <v>313500</v>
      </c>
      <c r="AU9" s="37">
        <f>'SDDPL '!AU9+Govind!AU9+Parag!AU9</f>
        <v>313500</v>
      </c>
      <c r="AV9" s="37">
        <f>'SDDPL '!AV9+Govind!AV9+Parag!AV9</f>
        <v>313500</v>
      </c>
      <c r="AW9" s="37">
        <f>'SDDPL '!AW9+Govind!AW9+Parag!AW9</f>
        <v>313500</v>
      </c>
      <c r="AX9" s="37">
        <f>'SDDPL '!AX9+Govind!AX9+Parag!AX9</f>
        <v>313500</v>
      </c>
      <c r="AY9" s="37">
        <f>'SDDPL '!AY9+Govind!AY9+Parag!AY9</f>
        <v>313500</v>
      </c>
      <c r="AZ9" s="37">
        <f>'SDDPL '!AZ9+Govind!AZ9+Parag!AZ9</f>
        <v>313500</v>
      </c>
      <c r="BA9" s="37">
        <f>'SDDPL '!BA9+Govind!BA9+Parag!BA9</f>
        <v>313500</v>
      </c>
      <c r="BB9" s="73">
        <f>AVERAGE(AP9:AU9)</f>
        <v>314083.3333</v>
      </c>
      <c r="BC9" s="259"/>
      <c r="BD9" s="259"/>
      <c r="BE9" s="46" t="s">
        <v>68</v>
      </c>
      <c r="BF9" s="117">
        <f>BF11*BF8</f>
        <v>17284397.4</v>
      </c>
      <c r="BG9" s="117">
        <f>AB28</f>
        <v>44440792.6</v>
      </c>
      <c r="BH9" s="117">
        <f>AB29</f>
        <v>53978520.76</v>
      </c>
      <c r="BI9" s="117">
        <f>AO28</f>
        <v>68351508.6</v>
      </c>
      <c r="BJ9" s="117">
        <f>AO29</f>
        <v>73227518.07</v>
      </c>
      <c r="BK9" s="117">
        <f>BB28</f>
        <v>81898909.94</v>
      </c>
      <c r="BL9" s="117"/>
      <c r="BM9" s="259"/>
      <c r="BN9" s="13">
        <f>BN8+BN7</f>
        <v>104570269.8</v>
      </c>
      <c r="BR9" s="259"/>
      <c r="BS9" s="259"/>
      <c r="BT9" s="259"/>
      <c r="BU9" s="259"/>
      <c r="BV9" s="259"/>
      <c r="BW9" s="60" t="s">
        <v>78</v>
      </c>
      <c r="BX9" s="41"/>
      <c r="BY9" s="41"/>
      <c r="BZ9" s="41"/>
      <c r="CA9" s="41"/>
      <c r="CB9" s="41"/>
      <c r="CC9" s="41"/>
      <c r="CD9" s="41"/>
    </row>
    <row r="10" ht="12.0" customHeight="1">
      <c r="A10" s="6"/>
      <c r="B10" s="36" t="s">
        <v>71</v>
      </c>
      <c r="C10" s="37">
        <f t="shared" ref="C10:BB10" si="14">C9/C8</f>
        <v>2388.461538</v>
      </c>
      <c r="D10" s="37">
        <f t="shared" si="14"/>
        <v>2388.461538</v>
      </c>
      <c r="E10" s="37">
        <f t="shared" si="14"/>
        <v>2388.461538</v>
      </c>
      <c r="F10" s="37">
        <f t="shared" si="14"/>
        <v>2388.461538</v>
      </c>
      <c r="G10" s="37">
        <f t="shared" si="14"/>
        <v>2388.461538</v>
      </c>
      <c r="H10" s="37">
        <f t="shared" si="14"/>
        <v>2388.461538</v>
      </c>
      <c r="I10" s="37">
        <f t="shared" si="14"/>
        <v>2388.461538</v>
      </c>
      <c r="J10" s="37">
        <f t="shared" si="14"/>
        <v>2388.461538</v>
      </c>
      <c r="K10" s="37">
        <f t="shared" si="14"/>
        <v>2388.461538</v>
      </c>
      <c r="L10" s="37">
        <f t="shared" si="14"/>
        <v>2388.461538</v>
      </c>
      <c r="M10" s="37">
        <f t="shared" si="14"/>
        <v>2388.461538</v>
      </c>
      <c r="N10" s="37">
        <f t="shared" si="14"/>
        <v>2388.461538</v>
      </c>
      <c r="O10" s="73">
        <f t="shared" si="14"/>
        <v>2388.461538</v>
      </c>
      <c r="P10" s="37">
        <f t="shared" si="14"/>
        <v>2388.461538</v>
      </c>
      <c r="Q10" s="37">
        <f t="shared" si="14"/>
        <v>2388.461538</v>
      </c>
      <c r="R10" s="37">
        <f t="shared" si="14"/>
        <v>2388.461538</v>
      </c>
      <c r="S10" s="37">
        <f t="shared" si="14"/>
        <v>2388.461538</v>
      </c>
      <c r="T10" s="38">
        <f t="shared" si="14"/>
        <v>2388.461538</v>
      </c>
      <c r="U10" s="37">
        <f t="shared" si="14"/>
        <v>2388.461538</v>
      </c>
      <c r="V10" s="37">
        <f t="shared" si="14"/>
        <v>2388.461538</v>
      </c>
      <c r="W10" s="37">
        <f t="shared" si="14"/>
        <v>2388.461538</v>
      </c>
      <c r="X10" s="37">
        <f t="shared" si="14"/>
        <v>2511.538462</v>
      </c>
      <c r="Y10" s="37">
        <f t="shared" si="14"/>
        <v>2511.538462</v>
      </c>
      <c r="Z10" s="37">
        <f t="shared" si="14"/>
        <v>2511.538462</v>
      </c>
      <c r="AA10" s="37">
        <f t="shared" si="14"/>
        <v>2511.538462</v>
      </c>
      <c r="AB10" s="73">
        <f t="shared" si="14"/>
        <v>2429.487179</v>
      </c>
      <c r="AC10" s="37">
        <f t="shared" si="14"/>
        <v>2511.538462</v>
      </c>
      <c r="AD10" s="37">
        <f t="shared" si="14"/>
        <v>2511.538462</v>
      </c>
      <c r="AE10" s="37">
        <f t="shared" si="14"/>
        <v>2511.538462</v>
      </c>
      <c r="AF10" s="37">
        <f t="shared" si="14"/>
        <v>2511.538462</v>
      </c>
      <c r="AG10" s="37">
        <f t="shared" si="14"/>
        <v>2511.538462</v>
      </c>
      <c r="AH10" s="37">
        <f t="shared" si="14"/>
        <v>2511.538462</v>
      </c>
      <c r="AI10" s="37">
        <f t="shared" si="14"/>
        <v>2511.538462</v>
      </c>
      <c r="AJ10" s="37">
        <f t="shared" si="14"/>
        <v>2516.129032</v>
      </c>
      <c r="AK10" s="37">
        <f t="shared" si="14"/>
        <v>2516.129032</v>
      </c>
      <c r="AL10" s="37">
        <f t="shared" si="14"/>
        <v>2548.387097</v>
      </c>
      <c r="AM10" s="37">
        <f t="shared" si="14"/>
        <v>2580.645161</v>
      </c>
      <c r="AN10" s="37">
        <f t="shared" si="14"/>
        <v>2580.645161</v>
      </c>
      <c r="AO10" s="73">
        <f t="shared" si="14"/>
        <v>2597.782258</v>
      </c>
      <c r="AP10" s="37">
        <f t="shared" si="14"/>
        <v>2585.365854</v>
      </c>
      <c r="AQ10" s="37">
        <f t="shared" si="14"/>
        <v>2536.585366</v>
      </c>
      <c r="AR10" s="37">
        <f t="shared" si="14"/>
        <v>2557.377049</v>
      </c>
      <c r="AS10" s="37">
        <f t="shared" si="14"/>
        <v>2607.438017</v>
      </c>
      <c r="AT10" s="37">
        <f t="shared" si="14"/>
        <v>2569.672131</v>
      </c>
      <c r="AU10" s="37">
        <f t="shared" si="14"/>
        <v>2569.672131</v>
      </c>
      <c r="AV10" s="37">
        <f t="shared" si="14"/>
        <v>2569.672131</v>
      </c>
      <c r="AW10" s="37">
        <f t="shared" si="14"/>
        <v>2569.672131</v>
      </c>
      <c r="AX10" s="37">
        <f t="shared" si="14"/>
        <v>2569.672131</v>
      </c>
      <c r="AY10" s="37">
        <f t="shared" si="14"/>
        <v>2569.672131</v>
      </c>
      <c r="AZ10" s="37">
        <f t="shared" si="14"/>
        <v>2569.672131</v>
      </c>
      <c r="BA10" s="37">
        <f t="shared" si="14"/>
        <v>2569.672131</v>
      </c>
      <c r="BB10" s="73">
        <f t="shared" si="14"/>
        <v>2572.696246</v>
      </c>
      <c r="BC10" s="259"/>
      <c r="BD10" s="259"/>
      <c r="BE10" s="46" t="s">
        <v>72</v>
      </c>
      <c r="BF10" s="117">
        <f>BF9/O7</f>
        <v>47354.51344</v>
      </c>
      <c r="BG10" s="117">
        <f>BG9/AB7</f>
        <v>121755.5962</v>
      </c>
      <c r="BH10" s="117">
        <f>BH9/AB7</f>
        <v>147886.3583</v>
      </c>
      <c r="BI10" s="117">
        <f>BI9/AO7</f>
        <v>186752.7557</v>
      </c>
      <c r="BJ10" s="117">
        <f>BJ9/AO7</f>
        <v>200075.186</v>
      </c>
      <c r="BK10" s="117">
        <f>BK9/BB7</f>
        <v>452480.1654</v>
      </c>
      <c r="BL10" s="117"/>
      <c r="BM10" s="259"/>
      <c r="BN10" s="259"/>
      <c r="BR10" s="259"/>
      <c r="BS10" s="259"/>
      <c r="BT10" s="259"/>
      <c r="BU10" s="259"/>
      <c r="BV10" s="259"/>
      <c r="BW10" s="2"/>
      <c r="BX10" s="2"/>
      <c r="BY10" s="2"/>
      <c r="BZ10" s="2"/>
      <c r="CA10" s="2"/>
      <c r="CB10" s="2"/>
      <c r="CC10" s="2"/>
      <c r="CD10" s="2"/>
    </row>
    <row r="11" ht="12.0" customHeight="1">
      <c r="A11" s="47" t="s">
        <v>74</v>
      </c>
      <c r="B11" s="48" t="s">
        <v>75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>
        <v>5967810.0</v>
      </c>
      <c r="Q11" s="49">
        <v>5116400.0</v>
      </c>
      <c r="R11" s="49">
        <v>6256575.0</v>
      </c>
      <c r="S11" s="49">
        <v>5838450.0</v>
      </c>
      <c r="T11" s="50">
        <v>6256575.0</v>
      </c>
      <c r="U11" s="49">
        <v>6054750.0</v>
      </c>
      <c r="V11" s="49">
        <v>5967810.0</v>
      </c>
      <c r="W11" s="49">
        <v>6064065.0</v>
      </c>
      <c r="X11" s="49">
        <v>6072900.0</v>
      </c>
      <c r="Y11" s="49">
        <v>6781405.0</v>
      </c>
      <c r="Z11" s="49">
        <v>6856500.0</v>
      </c>
      <c r="AA11" s="49">
        <v>7388695.0</v>
      </c>
      <c r="AB11" s="49">
        <f t="shared" ref="AB11:AB12" si="17">SUM(P11:AA11)</f>
        <v>74621935</v>
      </c>
      <c r="AC11" s="49">
        <v>6781405.0</v>
      </c>
      <c r="AD11" s="49">
        <v>6391237.5</v>
      </c>
      <c r="AE11" s="49">
        <v>6882620.000000001</v>
      </c>
      <c r="AF11" s="49">
        <v>6709575.000000001</v>
      </c>
      <c r="AG11" s="49">
        <v>4505700.000000001</v>
      </c>
      <c r="AH11" s="49">
        <v>6807525.000000001</v>
      </c>
      <c r="AI11" s="49">
        <v>7085050.000000001</v>
      </c>
      <c r="AJ11" s="49">
        <v>7135657.500000001</v>
      </c>
      <c r="AK11" s="49">
        <v>6954450.000000001</v>
      </c>
      <c r="AL11" s="49">
        <v>7236872.500000001</v>
      </c>
      <c r="AM11" s="49">
        <v>7052400.000000001</v>
      </c>
      <c r="AN11" s="49">
        <v>7338087.500000001</v>
      </c>
      <c r="AO11" s="49">
        <f t="shared" ref="AO11:AO12" si="18">SUM(AC11:AN11)</f>
        <v>80880580</v>
      </c>
      <c r="AP11" s="49">
        <f t="shared" ref="AP11:BA11" si="15">AP14*AP9*AP7</f>
        <v>7023825</v>
      </c>
      <c r="AQ11" s="49">
        <f t="shared" si="15"/>
        <v>6355440</v>
      </c>
      <c r="AR11" s="49">
        <f t="shared" si="15"/>
        <v>7181460</v>
      </c>
      <c r="AS11" s="49">
        <f t="shared" si="15"/>
        <v>7169737.5</v>
      </c>
      <c r="AT11" s="49">
        <f t="shared" si="15"/>
        <v>7507541.25</v>
      </c>
      <c r="AU11" s="49">
        <f t="shared" si="15"/>
        <v>7406437.5</v>
      </c>
      <c r="AV11" s="49">
        <f t="shared" si="15"/>
        <v>7799096.25</v>
      </c>
      <c r="AW11" s="49">
        <f t="shared" si="15"/>
        <v>7944873.75</v>
      </c>
      <c r="AX11" s="49">
        <f t="shared" si="15"/>
        <v>7829662.5</v>
      </c>
      <c r="AY11" s="49">
        <f t="shared" si="15"/>
        <v>8236428.75</v>
      </c>
      <c r="AZ11" s="49">
        <f t="shared" si="15"/>
        <v>8111812.5</v>
      </c>
      <c r="BA11" s="49">
        <f t="shared" si="15"/>
        <v>8527983.75</v>
      </c>
      <c r="BB11" s="49">
        <f t="shared" ref="BB11:BB12" si="19">SUM(AP11:BA11)</f>
        <v>91094298.75</v>
      </c>
      <c r="BC11" s="13"/>
      <c r="BD11" s="13"/>
      <c r="BE11" s="51" t="s">
        <v>76</v>
      </c>
      <c r="BF11" s="211">
        <v>0.28</v>
      </c>
      <c r="BG11" s="212">
        <f t="shared" ref="BG11:BK11" si="16">BG9/BG8</f>
        <v>0.5955459692</v>
      </c>
      <c r="BH11" s="212">
        <f t="shared" si="16"/>
        <v>0.7158318466</v>
      </c>
      <c r="BI11" s="212">
        <f t="shared" si="16"/>
        <v>0.8450917216</v>
      </c>
      <c r="BJ11" s="212">
        <f t="shared" si="16"/>
        <v>0.8712448093</v>
      </c>
      <c r="BK11" s="212">
        <f t="shared" si="16"/>
        <v>0.8990563742</v>
      </c>
      <c r="BL11" s="213"/>
      <c r="BM11" s="259"/>
      <c r="BN11" s="259"/>
      <c r="BR11" s="259"/>
      <c r="BS11" s="259"/>
      <c r="BT11" s="259"/>
      <c r="BU11" s="259"/>
      <c r="BV11" s="259"/>
      <c r="BW11" s="2"/>
      <c r="BX11" s="2"/>
      <c r="BY11" s="2"/>
      <c r="BZ11" s="2"/>
      <c r="CA11" s="2"/>
      <c r="CB11" s="2"/>
      <c r="CC11" s="2"/>
      <c r="CD11" s="2"/>
    </row>
    <row r="12" ht="12.0" customHeight="1">
      <c r="A12" s="54"/>
      <c r="B12" s="55" t="s">
        <v>77</v>
      </c>
      <c r="C12" s="56">
        <f>'SDDPL '!C12+Govind!C12+Parag!C12</f>
        <v>4638393.67</v>
      </c>
      <c r="D12" s="56">
        <f>'SDDPL '!D12+Govind!D12+Parag!D12</f>
        <v>4160731.42</v>
      </c>
      <c r="E12" s="56">
        <f>'SDDPL '!E12+Govind!E12+Parag!E12</f>
        <v>4858087.85</v>
      </c>
      <c r="F12" s="56">
        <f>'SDDPL '!F12+Govind!F12+Parag!F12</f>
        <v>5099213.7</v>
      </c>
      <c r="G12" s="56">
        <f>'SDDPL '!G12+Govind!G12+Parag!G12</f>
        <v>5501692.61</v>
      </c>
      <c r="H12" s="56">
        <f>'SDDPL '!H12+Govind!H12+Parag!H12</f>
        <v>5408979.27</v>
      </c>
      <c r="I12" s="56">
        <f>'SDDPL '!I12+Govind!I12+Parag!I12</f>
        <v>5303717.29</v>
      </c>
      <c r="J12" s="56">
        <f>'SDDPL '!J12+Govind!J12+Parag!J12</f>
        <v>5102080.88</v>
      </c>
      <c r="K12" s="56">
        <f>'SDDPL '!K12+Govind!K12+Parag!K12</f>
        <v>4996307.52</v>
      </c>
      <c r="L12" s="56">
        <f>'SDDPL '!L12+Govind!L12+Parag!L12</f>
        <v>5340937.71</v>
      </c>
      <c r="M12" s="56">
        <f>'SDDPL '!M12+Govind!M12+Parag!M12</f>
        <v>5511198.44</v>
      </c>
      <c r="N12" s="56">
        <f>'SDDPL '!N12+Govind!N12+Parag!N12</f>
        <v>5808650.37</v>
      </c>
      <c r="O12" s="56">
        <f>SUM(C12:N12)</f>
        <v>61729990.73</v>
      </c>
      <c r="P12" s="56">
        <f>'SDDPL '!P12+Govind!P12+Parag!P12</f>
        <v>5840917.41</v>
      </c>
      <c r="Q12" s="56">
        <f>'SDDPL '!Q12+Govind!Q12+Parag!Q12</f>
        <v>5149088.47</v>
      </c>
      <c r="R12" s="56">
        <f>'SDDPL '!R12+Govind!R12+Parag!R12</f>
        <v>5955362.4</v>
      </c>
      <c r="S12" s="56">
        <f>'SDDPL '!S12+Govind!S12+Parag!S12</f>
        <v>6054048.03</v>
      </c>
      <c r="T12" s="56">
        <f>'SDDPL '!T12+Govind!T12+Parag!T12</f>
        <v>6416261.92</v>
      </c>
      <c r="U12" s="56">
        <f>'SDDPL '!U12+Govind!U12+Parag!U12</f>
        <v>6153988.96</v>
      </c>
      <c r="V12" s="56">
        <f>'SDDPL '!V12+Govind!V12+Parag!V12</f>
        <v>6023400.62</v>
      </c>
      <c r="W12" s="56">
        <f>'SDDPL '!W12+Govind!W12+Parag!W12</f>
        <v>6009057.4</v>
      </c>
      <c r="X12" s="56">
        <f>'SDDPL '!X12+Govind!X12+Parag!X12</f>
        <v>6290454.35</v>
      </c>
      <c r="Y12" s="56">
        <f>'SDDPL '!Y12+Govind!Y12+Parag!Y12</f>
        <v>6872343.39</v>
      </c>
      <c r="Z12" s="56">
        <f>'SDDPL '!Z12+Govind!Z12+Parag!Z12</f>
        <v>7071833.74</v>
      </c>
      <c r="AA12" s="56">
        <f>'SDDPL '!AA12+Govind!AA12+Parag!AA12</f>
        <v>7569948.14</v>
      </c>
      <c r="AB12" s="56">
        <f t="shared" si="17"/>
        <v>75406704.83</v>
      </c>
      <c r="AC12" s="56">
        <f>'SDDPL '!AC12+Govind!AC12+Parag!AC12</f>
        <v>7742833</v>
      </c>
      <c r="AD12" s="56">
        <f>'SDDPL '!AD12+Govind!AD12+Parag!AD12</f>
        <v>6752285.92</v>
      </c>
      <c r="AE12" s="56">
        <f>'SDDPL '!AE12+Govind!AE12+Parag!AE12</f>
        <v>7034235.96</v>
      </c>
      <c r="AF12" s="56">
        <f>'SDDPL '!AF12+Govind!AF12+Parag!AF12</f>
        <v>6922847.41</v>
      </c>
      <c r="AG12" s="56">
        <f>'SDDPL '!AG12+Govind!AG12+Parag!AG12</f>
        <v>7370457.28</v>
      </c>
      <c r="AH12" s="56">
        <f>'SDDPL '!AH12+Govind!AH12+Parag!AH12</f>
        <v>7369791.72</v>
      </c>
      <c r="AI12" s="56">
        <f>'SDDPL '!AI12+Govind!AI12+Parag!AI12</f>
        <v>7184054.46</v>
      </c>
      <c r="AJ12" s="56">
        <f>'SDDPL '!AJ12+Govind!AJ12+Parag!AJ12</f>
        <v>6747199.19</v>
      </c>
      <c r="AK12" s="56">
        <f>'SDDPL '!AK12+Govind!AK12+Parag!AK12</f>
        <v>6559499.9</v>
      </c>
      <c r="AL12" s="56">
        <f>'SDDPL '!AL12+Govind!AL12+Parag!AL12</f>
        <v>6824747.81</v>
      </c>
      <c r="AM12" s="56">
        <f>'SDDPL '!AM12+Govind!AM12+Parag!AM12</f>
        <v>6742494.48</v>
      </c>
      <c r="AN12" s="56">
        <f>'SDDPL '!AN12+Govind!AN12+Parag!AN12</f>
        <v>6798854.85</v>
      </c>
      <c r="AO12" s="56">
        <f t="shared" si="18"/>
        <v>84049301.98</v>
      </c>
      <c r="AP12" s="56">
        <f>'SDDPL '!AP12+Govind!AP12+Parag!AP12</f>
        <v>6750111.77</v>
      </c>
      <c r="AQ12" s="56">
        <f>'SDDPL '!AQ12+Govind!AQ12+Parag!AQ12</f>
        <v>5981403.7</v>
      </c>
      <c r="AR12" s="56">
        <f>'SDDPL '!AR12+Govind!AR12+Parag!AR12</f>
        <v>6543894.86</v>
      </c>
      <c r="AS12" s="56">
        <f>'SDDPL '!AS12+Govind!AS12+Parag!AS12</f>
        <v>6701576.38</v>
      </c>
      <c r="AT12" s="56">
        <f>'SDDPL '!AT12+Govind!AT12+Parag!AT12</f>
        <v>6970496.77</v>
      </c>
      <c r="AU12" s="56">
        <f>'SDDPL '!AU12+Govind!AU12+Parag!AU12</f>
        <v>6795676.83</v>
      </c>
      <c r="AV12" s="56">
        <f>'SDDPL '!AV12+Govind!AV12+Parag!AV12</f>
        <v>0</v>
      </c>
      <c r="AW12" s="56">
        <f>'SDDPL '!AW12+Govind!AW12+Parag!AW12</f>
        <v>0</v>
      </c>
      <c r="AX12" s="56">
        <f>'SDDPL '!AX12+Govind!AX12+Parag!AX12</f>
        <v>0</v>
      </c>
      <c r="AY12" s="56">
        <f>'SDDPL '!AY12+Govind!AY12+Parag!AY12</f>
        <v>0</v>
      </c>
      <c r="AZ12" s="56">
        <f>'SDDPL '!AZ12+Govind!AZ12+Parag!AZ12</f>
        <v>0</v>
      </c>
      <c r="BA12" s="56">
        <f>'SDDPL '!BA12+Govind!BA12+Parag!BA12</f>
        <v>0</v>
      </c>
      <c r="BB12" s="56">
        <f t="shared" si="19"/>
        <v>39743160.31</v>
      </c>
      <c r="BC12" s="261">
        <f>AU12/10^6</f>
        <v>6.79567683</v>
      </c>
      <c r="BD12" s="13"/>
      <c r="BE12" s="105"/>
      <c r="BF12" s="105"/>
      <c r="BG12" s="105"/>
      <c r="BH12" s="105"/>
      <c r="BI12" s="105"/>
      <c r="BJ12" s="105"/>
      <c r="BK12" s="105"/>
      <c r="BL12" s="105"/>
      <c r="BM12" s="259"/>
      <c r="BN12" s="259"/>
      <c r="BR12" s="259"/>
      <c r="BS12" s="259"/>
      <c r="BT12" s="259"/>
      <c r="BU12" s="259"/>
      <c r="BV12" s="259"/>
      <c r="BW12" s="70"/>
      <c r="BX12" s="33" t="s">
        <v>55</v>
      </c>
      <c r="BY12" s="33" t="s">
        <v>56</v>
      </c>
      <c r="BZ12" s="71"/>
      <c r="CA12" s="262" t="s">
        <v>57</v>
      </c>
      <c r="CB12" s="263"/>
      <c r="CC12" s="34" t="s">
        <v>58</v>
      </c>
      <c r="CD12" s="72"/>
    </row>
    <row r="13" ht="12.0" customHeight="1">
      <c r="A13" s="54"/>
      <c r="B13" s="36" t="s">
        <v>79</v>
      </c>
      <c r="C13" s="37">
        <f t="shared" ref="C13:BB13" si="20">C12/C7</f>
        <v>149625.6023</v>
      </c>
      <c r="D13" s="37">
        <f t="shared" si="20"/>
        <v>148597.5507</v>
      </c>
      <c r="E13" s="37">
        <f t="shared" si="20"/>
        <v>156712.5113</v>
      </c>
      <c r="F13" s="37">
        <f t="shared" si="20"/>
        <v>169973.79</v>
      </c>
      <c r="G13" s="37">
        <f t="shared" si="20"/>
        <v>177473.9552</v>
      </c>
      <c r="H13" s="37">
        <f t="shared" si="20"/>
        <v>180299.309</v>
      </c>
      <c r="I13" s="37">
        <f t="shared" si="20"/>
        <v>171087.6545</v>
      </c>
      <c r="J13" s="37">
        <f t="shared" si="20"/>
        <v>164583.2542</v>
      </c>
      <c r="K13" s="37">
        <f t="shared" si="20"/>
        <v>166543.584</v>
      </c>
      <c r="L13" s="37">
        <f t="shared" si="20"/>
        <v>172288.3132</v>
      </c>
      <c r="M13" s="37">
        <f t="shared" si="20"/>
        <v>183706.6147</v>
      </c>
      <c r="N13" s="37">
        <f t="shared" si="20"/>
        <v>187375.8184</v>
      </c>
      <c r="O13" s="73">
        <f t="shared" si="20"/>
        <v>169123.2623</v>
      </c>
      <c r="P13" s="37">
        <f t="shared" si="20"/>
        <v>188416.6906</v>
      </c>
      <c r="Q13" s="37">
        <f t="shared" si="20"/>
        <v>183896.0168</v>
      </c>
      <c r="R13" s="37">
        <f t="shared" si="20"/>
        <v>192108.4645</v>
      </c>
      <c r="S13" s="37">
        <f t="shared" si="20"/>
        <v>201801.601</v>
      </c>
      <c r="T13" s="37">
        <f t="shared" si="20"/>
        <v>206976.191</v>
      </c>
      <c r="U13" s="37">
        <f t="shared" si="20"/>
        <v>205132.9653</v>
      </c>
      <c r="V13" s="37">
        <f t="shared" si="20"/>
        <v>194303.2458</v>
      </c>
      <c r="W13" s="37">
        <f t="shared" si="20"/>
        <v>193840.5613</v>
      </c>
      <c r="X13" s="37">
        <f t="shared" si="20"/>
        <v>209681.8117</v>
      </c>
      <c r="Y13" s="37">
        <f t="shared" si="20"/>
        <v>221688.4965</v>
      </c>
      <c r="Z13" s="37">
        <f t="shared" si="20"/>
        <v>235727.7913</v>
      </c>
      <c r="AA13" s="37">
        <f t="shared" si="20"/>
        <v>244191.8755</v>
      </c>
      <c r="AB13" s="73">
        <f t="shared" si="20"/>
        <v>206593.7119</v>
      </c>
      <c r="AC13" s="37">
        <f t="shared" si="20"/>
        <v>249768.8065</v>
      </c>
      <c r="AD13" s="37">
        <f t="shared" si="20"/>
        <v>232837.4455</v>
      </c>
      <c r="AE13" s="37">
        <f t="shared" si="20"/>
        <v>226910.8374</v>
      </c>
      <c r="AF13" s="37">
        <f t="shared" si="20"/>
        <v>230761.5803</v>
      </c>
      <c r="AG13" s="37">
        <f t="shared" si="20"/>
        <v>237756.6865</v>
      </c>
      <c r="AH13" s="37">
        <f t="shared" si="20"/>
        <v>245659.724</v>
      </c>
      <c r="AI13" s="37">
        <f t="shared" si="20"/>
        <v>231743.6923</v>
      </c>
      <c r="AJ13" s="37">
        <f t="shared" si="20"/>
        <v>217651.5868</v>
      </c>
      <c r="AK13" s="37">
        <f t="shared" si="20"/>
        <v>218649.9967</v>
      </c>
      <c r="AL13" s="37">
        <f t="shared" si="20"/>
        <v>220153.1552</v>
      </c>
      <c r="AM13" s="37">
        <f t="shared" si="20"/>
        <v>224749.816</v>
      </c>
      <c r="AN13" s="37">
        <f t="shared" si="20"/>
        <v>219317.8984</v>
      </c>
      <c r="AO13" s="73">
        <f t="shared" si="20"/>
        <v>229642.9016</v>
      </c>
      <c r="AP13" s="37">
        <f t="shared" si="20"/>
        <v>217745.541</v>
      </c>
      <c r="AQ13" s="37">
        <f t="shared" si="20"/>
        <v>213621.5607</v>
      </c>
      <c r="AR13" s="37">
        <f t="shared" si="20"/>
        <v>211093.3826</v>
      </c>
      <c r="AS13" s="37">
        <f t="shared" si="20"/>
        <v>223385.8793</v>
      </c>
      <c r="AT13" s="37">
        <f t="shared" si="20"/>
        <v>224854.7345</v>
      </c>
      <c r="AU13" s="37">
        <f t="shared" si="20"/>
        <v>226522.561</v>
      </c>
      <c r="AV13" s="37">
        <f t="shared" si="20"/>
        <v>0</v>
      </c>
      <c r="AW13" s="37">
        <f t="shared" si="20"/>
        <v>0</v>
      </c>
      <c r="AX13" s="37">
        <f t="shared" si="20"/>
        <v>0</v>
      </c>
      <c r="AY13" s="37">
        <f t="shared" si="20"/>
        <v>0</v>
      </c>
      <c r="AZ13" s="37">
        <f t="shared" si="20"/>
        <v>0</v>
      </c>
      <c r="BA13" s="37">
        <f t="shared" si="20"/>
        <v>0</v>
      </c>
      <c r="BB13" s="73">
        <f t="shared" si="20"/>
        <v>219575.4713</v>
      </c>
      <c r="BC13" s="13"/>
      <c r="BD13" s="13"/>
      <c r="BE13" s="117"/>
      <c r="BF13" s="193" t="s">
        <v>55</v>
      </c>
      <c r="BG13" s="193" t="s">
        <v>56</v>
      </c>
      <c r="BH13" s="193"/>
      <c r="BI13" s="193" t="s">
        <v>57</v>
      </c>
      <c r="BJ13" s="193"/>
      <c r="BK13" s="193" t="s">
        <v>58</v>
      </c>
      <c r="BL13" s="193"/>
      <c r="BM13" s="259"/>
      <c r="BN13" s="259"/>
      <c r="BR13" s="259"/>
      <c r="BS13" s="259"/>
      <c r="BT13" s="259"/>
      <c r="BU13" s="259"/>
      <c r="BV13" s="259"/>
      <c r="BW13" s="42" t="s">
        <v>83</v>
      </c>
      <c r="BX13" s="45" t="s">
        <v>84</v>
      </c>
      <c r="BY13" s="44" t="s">
        <v>62</v>
      </c>
      <c r="BZ13" s="45" t="s">
        <v>63</v>
      </c>
      <c r="CA13" s="44" t="s">
        <v>62</v>
      </c>
      <c r="CB13" s="45" t="s">
        <v>63</v>
      </c>
      <c r="CC13" s="44" t="s">
        <v>62</v>
      </c>
      <c r="CD13" s="45" t="s">
        <v>63</v>
      </c>
    </row>
    <row r="14" ht="12.0" customHeight="1">
      <c r="A14" s="54"/>
      <c r="B14" s="61" t="s">
        <v>80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4">
        <v>0.62</v>
      </c>
      <c r="Q14" s="64">
        <v>0.6</v>
      </c>
      <c r="R14" s="64">
        <v>0.65</v>
      </c>
      <c r="S14" s="64">
        <v>0.63</v>
      </c>
      <c r="T14" s="65">
        <v>0.65</v>
      </c>
      <c r="U14" s="64">
        <v>0.65</v>
      </c>
      <c r="V14" s="64">
        <v>0.62</v>
      </c>
      <c r="W14" s="64">
        <v>0.63</v>
      </c>
      <c r="X14" s="64">
        <v>0.62</v>
      </c>
      <c r="Y14" s="64">
        <v>0.67</v>
      </c>
      <c r="Z14" s="64">
        <v>0.7</v>
      </c>
      <c r="AA14" s="64">
        <v>0.73</v>
      </c>
      <c r="AB14" s="88">
        <f>AVERAGE(P14:AA14)</f>
        <v>0.6475</v>
      </c>
      <c r="AC14" s="64">
        <v>0.67</v>
      </c>
      <c r="AD14" s="64">
        <f t="shared" ref="AD14:AN14" si="21">AC14+0.5%</f>
        <v>0.675</v>
      </c>
      <c r="AE14" s="64">
        <f t="shared" si="21"/>
        <v>0.68</v>
      </c>
      <c r="AF14" s="64">
        <f t="shared" si="21"/>
        <v>0.685</v>
      </c>
      <c r="AG14" s="64">
        <f t="shared" si="21"/>
        <v>0.69</v>
      </c>
      <c r="AH14" s="64">
        <f t="shared" si="21"/>
        <v>0.695</v>
      </c>
      <c r="AI14" s="64">
        <f t="shared" si="21"/>
        <v>0.7</v>
      </c>
      <c r="AJ14" s="64">
        <f t="shared" si="21"/>
        <v>0.705</v>
      </c>
      <c r="AK14" s="64">
        <f t="shared" si="21"/>
        <v>0.71</v>
      </c>
      <c r="AL14" s="64">
        <f t="shared" si="21"/>
        <v>0.715</v>
      </c>
      <c r="AM14" s="64">
        <f t="shared" si="21"/>
        <v>0.72</v>
      </c>
      <c r="AN14" s="64">
        <f t="shared" si="21"/>
        <v>0.725</v>
      </c>
      <c r="AO14" s="88">
        <f>AVERAGE(AC14:AN14)</f>
        <v>0.6975</v>
      </c>
      <c r="AP14" s="64">
        <f t="shared" ref="AP14:BA14" si="22">AO14+1.5%</f>
        <v>0.7125</v>
      </c>
      <c r="AQ14" s="64">
        <f t="shared" si="22"/>
        <v>0.7275</v>
      </c>
      <c r="AR14" s="64">
        <f t="shared" si="22"/>
        <v>0.7425</v>
      </c>
      <c r="AS14" s="64">
        <f t="shared" si="22"/>
        <v>0.7575</v>
      </c>
      <c r="AT14" s="64">
        <f t="shared" si="22"/>
        <v>0.7725</v>
      </c>
      <c r="AU14" s="64">
        <f t="shared" si="22"/>
        <v>0.7875</v>
      </c>
      <c r="AV14" s="64">
        <f t="shared" si="22"/>
        <v>0.8025</v>
      </c>
      <c r="AW14" s="64">
        <f t="shared" si="22"/>
        <v>0.8175</v>
      </c>
      <c r="AX14" s="64">
        <f t="shared" si="22"/>
        <v>0.8325</v>
      </c>
      <c r="AY14" s="64">
        <f t="shared" si="22"/>
        <v>0.8475</v>
      </c>
      <c r="AZ14" s="64">
        <f t="shared" si="22"/>
        <v>0.8625</v>
      </c>
      <c r="BA14" s="64">
        <f t="shared" si="22"/>
        <v>0.8775</v>
      </c>
      <c r="BB14" s="88">
        <f>AVERAGE(AP14:BA14)</f>
        <v>0.795</v>
      </c>
      <c r="BC14" s="259"/>
      <c r="BD14" s="259"/>
      <c r="BE14" s="117"/>
      <c r="BF14" s="193"/>
      <c r="BG14" s="193"/>
      <c r="BH14" s="193"/>
      <c r="BI14" s="193"/>
      <c r="BJ14" s="193"/>
      <c r="BK14" s="193"/>
      <c r="BL14" s="193"/>
      <c r="BM14" s="259"/>
      <c r="BN14" s="259"/>
      <c r="BR14" s="259"/>
      <c r="BS14" s="259"/>
      <c r="BT14" s="259"/>
      <c r="BU14" s="259"/>
      <c r="BV14" s="259"/>
      <c r="BW14" s="46" t="s">
        <v>86</v>
      </c>
      <c r="BX14" s="41">
        <f>N9</f>
        <v>310500</v>
      </c>
      <c r="BY14" s="41">
        <f>BX14</f>
        <v>310500</v>
      </c>
      <c r="BZ14" s="41">
        <f>SUM(P9:AA9)/12</f>
        <v>315833.3333</v>
      </c>
      <c r="CA14" s="41">
        <f>BZ14</f>
        <v>315833.3333</v>
      </c>
      <c r="CB14" s="41"/>
      <c r="CC14" s="41">
        <f>CA14</f>
        <v>315833.3333</v>
      </c>
      <c r="CD14" s="41"/>
    </row>
    <row r="15" ht="12.0" customHeight="1">
      <c r="A15" s="67"/>
      <c r="B15" s="68" t="s">
        <v>81</v>
      </c>
      <c r="C15" s="53">
        <f t="shared" ref="C15:BB15" si="23">C13/C9</f>
        <v>0.4818859976</v>
      </c>
      <c r="D15" s="53">
        <f t="shared" si="23"/>
        <v>0.4785750426</v>
      </c>
      <c r="E15" s="53">
        <f t="shared" si="23"/>
        <v>0.5047101813</v>
      </c>
      <c r="F15" s="53">
        <f t="shared" si="23"/>
        <v>0.5474196135</v>
      </c>
      <c r="G15" s="53">
        <f t="shared" si="23"/>
        <v>0.5715747348</v>
      </c>
      <c r="H15" s="53">
        <f t="shared" si="23"/>
        <v>0.5806741031</v>
      </c>
      <c r="I15" s="53">
        <f t="shared" si="23"/>
        <v>0.5510069389</v>
      </c>
      <c r="J15" s="53">
        <f t="shared" si="23"/>
        <v>0.5300587897</v>
      </c>
      <c r="K15" s="53">
        <f t="shared" si="23"/>
        <v>0.5363722512</v>
      </c>
      <c r="L15" s="53">
        <f t="shared" si="23"/>
        <v>0.5548737946</v>
      </c>
      <c r="M15" s="53">
        <f t="shared" si="23"/>
        <v>0.5916477123</v>
      </c>
      <c r="N15" s="53">
        <f t="shared" si="23"/>
        <v>0.6034647935</v>
      </c>
      <c r="O15" s="53">
        <f t="shared" si="23"/>
        <v>0.5446803938</v>
      </c>
      <c r="P15" s="53">
        <f t="shared" si="23"/>
        <v>0.6068170391</v>
      </c>
      <c r="Q15" s="53">
        <f t="shared" si="23"/>
        <v>0.592257703</v>
      </c>
      <c r="R15" s="53">
        <f t="shared" si="23"/>
        <v>0.61870681</v>
      </c>
      <c r="S15" s="53">
        <f t="shared" si="23"/>
        <v>0.6499246409</v>
      </c>
      <c r="T15" s="69">
        <f t="shared" si="23"/>
        <v>0.666589987</v>
      </c>
      <c r="U15" s="53">
        <f t="shared" si="23"/>
        <v>0.6606536726</v>
      </c>
      <c r="V15" s="53">
        <f t="shared" si="23"/>
        <v>0.6257753488</v>
      </c>
      <c r="W15" s="53">
        <f t="shared" si="23"/>
        <v>0.6242852215</v>
      </c>
      <c r="X15" s="53">
        <f t="shared" si="23"/>
        <v>0.6422107555</v>
      </c>
      <c r="Y15" s="53">
        <f t="shared" si="23"/>
        <v>0.6789846752</v>
      </c>
      <c r="Z15" s="53">
        <f t="shared" si="23"/>
        <v>0.721984047</v>
      </c>
      <c r="AA15" s="53">
        <f t="shared" si="23"/>
        <v>0.747907735</v>
      </c>
      <c r="AB15" s="53">
        <f t="shared" si="23"/>
        <v>0.6541225705</v>
      </c>
      <c r="AC15" s="53">
        <f t="shared" si="23"/>
        <v>0.7649886874</v>
      </c>
      <c r="AD15" s="53">
        <f t="shared" si="23"/>
        <v>0.713131533</v>
      </c>
      <c r="AE15" s="53">
        <f t="shared" si="23"/>
        <v>0.6949795939</v>
      </c>
      <c r="AF15" s="53">
        <f t="shared" si="23"/>
        <v>0.7067735998</v>
      </c>
      <c r="AG15" s="53">
        <f t="shared" si="23"/>
        <v>0.7281981208</v>
      </c>
      <c r="AH15" s="53">
        <f t="shared" si="23"/>
        <v>0.7524034426</v>
      </c>
      <c r="AI15" s="53">
        <f t="shared" si="23"/>
        <v>0.7097815996</v>
      </c>
      <c r="AJ15" s="53">
        <f t="shared" si="23"/>
        <v>0.6976012397</v>
      </c>
      <c r="AK15" s="53">
        <f t="shared" si="23"/>
        <v>0.7008012714</v>
      </c>
      <c r="AL15" s="53">
        <f t="shared" si="23"/>
        <v>0.6966871999</v>
      </c>
      <c r="AM15" s="53">
        <f t="shared" si="23"/>
        <v>0.702343175</v>
      </c>
      <c r="AN15" s="53">
        <f t="shared" si="23"/>
        <v>0.6853684325</v>
      </c>
      <c r="AO15" s="264">
        <f t="shared" si="23"/>
        <v>0.7128999661</v>
      </c>
      <c r="AP15" s="53">
        <f t="shared" si="23"/>
        <v>0.6847344056</v>
      </c>
      <c r="AQ15" s="53">
        <f t="shared" si="23"/>
        <v>0.6846844895</v>
      </c>
      <c r="AR15" s="53">
        <f t="shared" si="23"/>
        <v>0.6765813544</v>
      </c>
      <c r="AS15" s="53">
        <f t="shared" si="23"/>
        <v>0.7080376524</v>
      </c>
      <c r="AT15" s="53">
        <f t="shared" si="23"/>
        <v>0.7172399825</v>
      </c>
      <c r="AU15" s="53">
        <f t="shared" si="23"/>
        <v>0.7225600032</v>
      </c>
      <c r="AV15" s="53">
        <f t="shared" si="23"/>
        <v>0</v>
      </c>
      <c r="AW15" s="53">
        <f t="shared" si="23"/>
        <v>0</v>
      </c>
      <c r="AX15" s="53">
        <f t="shared" si="23"/>
        <v>0</v>
      </c>
      <c r="AY15" s="53">
        <f t="shared" si="23"/>
        <v>0</v>
      </c>
      <c r="AZ15" s="53">
        <f t="shared" si="23"/>
        <v>0</v>
      </c>
      <c r="BA15" s="53">
        <f t="shared" si="23"/>
        <v>0</v>
      </c>
      <c r="BB15" s="53">
        <f t="shared" si="23"/>
        <v>0.6990994046</v>
      </c>
      <c r="BC15" s="13"/>
      <c r="BD15" s="13"/>
      <c r="BE15" s="199" t="s">
        <v>83</v>
      </c>
      <c r="BF15" s="200" t="s">
        <v>84</v>
      </c>
      <c r="BG15" s="201" t="s">
        <v>62</v>
      </c>
      <c r="BH15" s="202" t="s">
        <v>63</v>
      </c>
      <c r="BI15" s="203" t="s">
        <v>62</v>
      </c>
      <c r="BJ15" s="200" t="s">
        <v>63</v>
      </c>
      <c r="BK15" s="203" t="s">
        <v>62</v>
      </c>
      <c r="BL15" s="200" t="s">
        <v>63</v>
      </c>
      <c r="BM15" s="259"/>
      <c r="BN15" s="259"/>
      <c r="BO15" s="259"/>
      <c r="BP15" s="259"/>
      <c r="BQ15" s="259"/>
      <c r="BR15" s="259"/>
      <c r="BS15" s="259"/>
      <c r="BT15" s="259"/>
      <c r="BU15" s="259"/>
      <c r="BV15" s="259"/>
      <c r="BW15" s="46" t="s">
        <v>66</v>
      </c>
      <c r="BX15" s="41">
        <f>SUM(C12:N12)/10^6</f>
        <v>61.72999073</v>
      </c>
      <c r="BY15" s="41">
        <f>SUM(P11:AA11)/10^6</f>
        <v>74.621935</v>
      </c>
      <c r="BZ15" s="41">
        <f>SUM(P12:AA12)/10^6</f>
        <v>75.40670483</v>
      </c>
      <c r="CA15" s="41">
        <f>SUM(AC11:AN11)/10^6</f>
        <v>80.88058</v>
      </c>
      <c r="CB15" s="41"/>
      <c r="CC15" s="41">
        <f>CC16*365/10^6</f>
        <v>92.22333333</v>
      </c>
      <c r="CD15" s="41"/>
    </row>
    <row r="16" ht="12.0" customHeight="1">
      <c r="A16" s="6"/>
      <c r="B16" s="36" t="s">
        <v>165</v>
      </c>
      <c r="C16" s="37">
        <f>'SDDPL '!C16+Govind!C16+Parag!C16</f>
        <v>1233464.66</v>
      </c>
      <c r="D16" s="37">
        <f>'SDDPL '!D16+Govind!D16+Parag!D16</f>
        <v>937042.9272</v>
      </c>
      <c r="E16" s="37">
        <f>'SDDPL '!E16+Govind!E16+Parag!E16</f>
        <v>786400.2474</v>
      </c>
      <c r="F16" s="37">
        <f>'SDDPL '!F16+Govind!F16+Parag!F16</f>
        <v>1283230.399</v>
      </c>
      <c r="G16" s="37">
        <f>'SDDPL '!G16+Govind!G16+Parag!G16</f>
        <v>1680175.058</v>
      </c>
      <c r="H16" s="37">
        <f>'SDDPL '!H16+Govind!H16+Parag!H16</f>
        <v>1589851.764</v>
      </c>
      <c r="I16" s="37">
        <f>'SDDPL '!I16+Govind!I16+Parag!I16</f>
        <v>1802874.539</v>
      </c>
      <c r="J16" s="37">
        <f>'SDDPL '!J16+Govind!J16+Parag!J16</f>
        <v>1584534.898</v>
      </c>
      <c r="K16" s="37">
        <f>'SDDPL '!K16+Govind!K16+Parag!K16</f>
        <v>1636454.442</v>
      </c>
      <c r="L16" s="37">
        <f>'SDDPL '!L16+Govind!L16+Parag!L16</f>
        <v>1697462.842</v>
      </c>
      <c r="M16" s="37">
        <f>'SDDPL '!M16+Govind!M16+Parag!M16</f>
        <v>1354224.822</v>
      </c>
      <c r="N16" s="37">
        <f>'SDDPL '!N16+Govind!N16+Parag!N16</f>
        <v>958170.6684</v>
      </c>
      <c r="O16" s="73"/>
      <c r="P16" s="37">
        <f>'SDDPL '!P16+Govind!P16+Parag!P16</f>
        <v>910394.7267</v>
      </c>
      <c r="Q16" s="37">
        <f>'SDDPL '!Q16+Govind!Q16+Parag!Q16</f>
        <v>1060211.872</v>
      </c>
      <c r="R16" s="37">
        <f>'SDDPL '!R16+Govind!R16+Parag!R16</f>
        <v>1373832.003</v>
      </c>
      <c r="S16" s="37">
        <f>'SDDPL '!S16+Govind!S16+Parag!S16</f>
        <v>1175074.218</v>
      </c>
      <c r="T16" s="37">
        <f>'SDDPL '!T16+Govind!T16+Parag!T16</f>
        <v>1039324.335</v>
      </c>
      <c r="U16" s="37">
        <f>'SDDPL '!U16+Govind!U16+Parag!U16</f>
        <v>1090068.15</v>
      </c>
      <c r="V16" s="37">
        <f>'SDDPL '!V16+Govind!V16+Parag!V16</f>
        <v>853601.8083</v>
      </c>
      <c r="W16" s="37">
        <f>'SDDPL '!W16+Govind!W16+Parag!W16</f>
        <v>1379875.302</v>
      </c>
      <c r="X16" s="37">
        <f>'SDDPL '!X16+Govind!X16+Parag!X16</f>
        <v>639704.2807</v>
      </c>
      <c r="Y16" s="37">
        <f>'SDDPL '!Y16+Govind!Y16+Parag!Y16</f>
        <v>786970.0427</v>
      </c>
      <c r="Z16" s="37">
        <f>'SDDPL '!Z16+Govind!Z16+Parag!Z16</f>
        <v>616572.1732</v>
      </c>
      <c r="AA16" s="37">
        <f>'SDDPL '!AA16+Govind!AA16+Parag!AA16</f>
        <v>549662.6211</v>
      </c>
      <c r="AB16" s="73"/>
      <c r="AC16" s="37">
        <f>'SDDPL '!AC16+Govind!AC16+Parag!AC16</f>
        <v>734990.8274</v>
      </c>
      <c r="AD16" s="37">
        <f>'SDDPL '!AD16+Govind!AD16+Parag!AD16</f>
        <v>517117.6039</v>
      </c>
      <c r="AE16" s="37">
        <f>'SDDPL '!AE16+Govind!AE16+Parag!AE16</f>
        <v>624547.8972</v>
      </c>
      <c r="AF16" s="37">
        <f>'SDDPL '!AF16+Govind!AF16+Parag!AF16</f>
        <v>703841.9001</v>
      </c>
      <c r="AG16" s="37">
        <f>'SDDPL '!AG16+Govind!AG16+Parag!AG16</f>
        <v>659909.6911</v>
      </c>
      <c r="AH16" s="37">
        <f>'SDDPL '!AH16+Govind!AH16+Parag!AH16</f>
        <v>704610.41</v>
      </c>
      <c r="AI16" s="37">
        <f>'SDDPL '!AI16+Govind!AI16+Parag!AI16</f>
        <v>643196.32</v>
      </c>
      <c r="AJ16" s="37">
        <f>'SDDPL '!AJ16+Govind!AJ16+Parag!AJ16</f>
        <v>575449.45</v>
      </c>
      <c r="AK16" s="37">
        <f>'SDDPL '!AK16+Govind!AK16+Parag!AK16</f>
        <v>479545.68</v>
      </c>
      <c r="AL16" s="37">
        <f>'SDDPL '!AL16+Govind!AL16+Parag!AL16</f>
        <v>518078.19</v>
      </c>
      <c r="AM16" s="37">
        <f>'SDDPL '!AM16+Govind!AM16+Parag!AM16</f>
        <v>486228.4</v>
      </c>
      <c r="AN16" s="37">
        <f>'SDDPL '!AN16+Govind!AN16+Parag!AN16</f>
        <v>320530.25</v>
      </c>
      <c r="AO16" s="73">
        <f>AO17*AO12</f>
        <v>6935494.943</v>
      </c>
      <c r="AP16" s="37">
        <f>'SDDPL '!AP16+Govind!AP16+Parag!AP16</f>
        <v>253441.69</v>
      </c>
      <c r="AQ16" s="37">
        <f>'SDDPL '!AQ16+Govind!AQ16+Parag!AQ16</f>
        <v>269930.33</v>
      </c>
      <c r="AR16" s="37">
        <f>'SDDPL '!AR16+Govind!AR16+Parag!AR16</f>
        <v>320971.28</v>
      </c>
      <c r="AS16" s="37">
        <f>'SDDPL '!AS16+Govind!AS16+Parag!AS16</f>
        <v>381145.34</v>
      </c>
      <c r="AT16" s="37">
        <f>'SDDPL '!AT16+Govind!AT16+Parag!AT16</f>
        <v>357579.69</v>
      </c>
      <c r="AU16" s="37">
        <f>'SDDPL '!AU16+Govind!AU16+Parag!AU16</f>
        <v>428290.21</v>
      </c>
      <c r="AV16" s="37">
        <f>'SDDPL '!AV16+Govind!AV16+Parag!AV16</f>
        <v>0</v>
      </c>
      <c r="AW16" s="37">
        <f>'SDDPL '!AW16+Govind!AW16+Parag!AW16</f>
        <v>0</v>
      </c>
      <c r="AX16" s="37">
        <f>'SDDPL '!AX16+Govind!AX16+Parag!AX16</f>
        <v>0</v>
      </c>
      <c r="AY16" s="37">
        <f>'SDDPL '!AY16+Govind!AY16+Parag!AY16</f>
        <v>0</v>
      </c>
      <c r="AZ16" s="37">
        <f>'SDDPL '!AZ16+Govind!AZ16+Parag!AZ16</f>
        <v>0</v>
      </c>
      <c r="BA16" s="37">
        <f>'SDDPL '!BA16+Govind!BA16+Parag!BA16</f>
        <v>0</v>
      </c>
      <c r="BB16" s="73"/>
      <c r="BC16" s="13"/>
      <c r="BD16" s="13"/>
      <c r="BE16" s="46" t="s">
        <v>86</v>
      </c>
      <c r="BF16" s="117">
        <f>O9</f>
        <v>310500</v>
      </c>
      <c r="BG16" s="117">
        <f>AB9</f>
        <v>315833.3333</v>
      </c>
      <c r="BH16" s="117">
        <f>AB9</f>
        <v>315833.3333</v>
      </c>
      <c r="BI16" s="117">
        <f>AO9</f>
        <v>322125</v>
      </c>
      <c r="BJ16" s="117">
        <f>AO9</f>
        <v>322125</v>
      </c>
      <c r="BK16" s="117">
        <f>BB9</f>
        <v>314083.3333</v>
      </c>
      <c r="BL16" s="117"/>
      <c r="BM16" s="259"/>
      <c r="BN16" s="259"/>
      <c r="BO16" s="259"/>
      <c r="BP16" s="259"/>
      <c r="BQ16" s="259"/>
      <c r="BR16" s="259"/>
      <c r="BS16" s="259"/>
      <c r="BT16" s="259"/>
      <c r="BU16" s="259"/>
      <c r="BV16" s="259"/>
      <c r="BW16" s="46" t="s">
        <v>91</v>
      </c>
      <c r="BX16" s="41">
        <f t="shared" ref="BX16:CB16" si="24">BX15/365*10^6</f>
        <v>169123.2623</v>
      </c>
      <c r="BY16" s="41">
        <f t="shared" si="24"/>
        <v>204443.6575</v>
      </c>
      <c r="BZ16" s="41">
        <f t="shared" si="24"/>
        <v>206593.7119</v>
      </c>
      <c r="CA16" s="41">
        <f t="shared" si="24"/>
        <v>221590.6301</v>
      </c>
      <c r="CB16" s="41">
        <f t="shared" si="24"/>
        <v>0</v>
      </c>
      <c r="CC16" s="41">
        <f>CC17*CC14</f>
        <v>252666.6667</v>
      </c>
      <c r="CD16" s="41">
        <f>CD15/365*10^6</f>
        <v>0</v>
      </c>
    </row>
    <row r="17" ht="12.0" customHeight="1">
      <c r="A17" s="6"/>
      <c r="B17" s="36" t="s">
        <v>85</v>
      </c>
      <c r="C17" s="74">
        <f t="shared" ref="C17:N17" si="25">IFERROR(C16/C12,0)</f>
        <v>0.265924962</v>
      </c>
      <c r="D17" s="74">
        <f t="shared" si="25"/>
        <v>0.2252111066</v>
      </c>
      <c r="E17" s="74">
        <f t="shared" si="25"/>
        <v>0.1618744394</v>
      </c>
      <c r="F17" s="74">
        <f t="shared" si="25"/>
        <v>0.2516526027</v>
      </c>
      <c r="G17" s="74">
        <f t="shared" si="25"/>
        <v>0.3053923905</v>
      </c>
      <c r="H17" s="74">
        <f t="shared" si="25"/>
        <v>0.2939282413</v>
      </c>
      <c r="I17" s="74">
        <f t="shared" si="25"/>
        <v>0.3399265911</v>
      </c>
      <c r="J17" s="74">
        <f t="shared" si="25"/>
        <v>0.3105664014</v>
      </c>
      <c r="K17" s="74">
        <f t="shared" si="25"/>
        <v>0.32753277</v>
      </c>
      <c r="L17" s="74">
        <f t="shared" si="25"/>
        <v>0.317821127</v>
      </c>
      <c r="M17" s="74">
        <f t="shared" si="25"/>
        <v>0.2457223845</v>
      </c>
      <c r="N17" s="74">
        <f t="shared" si="25"/>
        <v>0.1649558172</v>
      </c>
      <c r="O17" s="168"/>
      <c r="P17" s="74">
        <f t="shared" ref="P17:AA17" si="26">IFERROR(P16/P12,0)</f>
        <v>0.155865023</v>
      </c>
      <c r="Q17" s="74">
        <f t="shared" si="26"/>
        <v>0.2059028269</v>
      </c>
      <c r="R17" s="74">
        <f t="shared" si="26"/>
        <v>0.2306882286</v>
      </c>
      <c r="S17" s="74">
        <f t="shared" si="26"/>
        <v>0.1940972739</v>
      </c>
      <c r="T17" s="74">
        <f t="shared" si="26"/>
        <v>0.1619828411</v>
      </c>
      <c r="U17" s="74">
        <f t="shared" si="26"/>
        <v>0.1771319639</v>
      </c>
      <c r="V17" s="74">
        <f t="shared" si="26"/>
        <v>0.1417142678</v>
      </c>
      <c r="W17" s="74">
        <f t="shared" si="26"/>
        <v>0.2296325713</v>
      </c>
      <c r="X17" s="74">
        <f t="shared" si="26"/>
        <v>0.1016944477</v>
      </c>
      <c r="Y17" s="74">
        <f t="shared" si="26"/>
        <v>0.1145126194</v>
      </c>
      <c r="Z17" s="74">
        <f t="shared" si="26"/>
        <v>0.08718702897</v>
      </c>
      <c r="AA17" s="74">
        <f t="shared" si="26"/>
        <v>0.07261114752</v>
      </c>
      <c r="AB17" s="168"/>
      <c r="AC17" s="74">
        <f t="shared" ref="AC17:AN17" si="27">IFERROR(AC16/AC12,0)</f>
        <v>0.0949253106</v>
      </c>
      <c r="AD17" s="74">
        <f t="shared" si="27"/>
        <v>0.07658407982</v>
      </c>
      <c r="AE17" s="74">
        <f t="shared" si="27"/>
        <v>0.08878688471</v>
      </c>
      <c r="AF17" s="74">
        <f t="shared" si="27"/>
        <v>0.1016694228</v>
      </c>
      <c r="AG17" s="74">
        <f t="shared" si="27"/>
        <v>0.08953442996</v>
      </c>
      <c r="AH17" s="74">
        <f t="shared" si="27"/>
        <v>0.0956079136</v>
      </c>
      <c r="AI17" s="74">
        <f t="shared" si="27"/>
        <v>0.08953110303</v>
      </c>
      <c r="AJ17" s="74">
        <f t="shared" si="27"/>
        <v>0.08528715898</v>
      </c>
      <c r="AK17" s="74">
        <f t="shared" si="27"/>
        <v>0.07310704891</v>
      </c>
      <c r="AL17" s="74">
        <f t="shared" si="27"/>
        <v>0.07591169731</v>
      </c>
      <c r="AM17" s="74">
        <f t="shared" si="27"/>
        <v>0.0721140227</v>
      </c>
      <c r="AN17" s="74">
        <f t="shared" si="27"/>
        <v>0.04714474085</v>
      </c>
      <c r="AO17" s="80">
        <f>AVERAGE(AC17:AN17)</f>
        <v>0.08251698444</v>
      </c>
      <c r="AP17" s="74">
        <f t="shared" ref="AP17:BA17" si="28">IFERROR(AP16/AP12,0)</f>
        <v>0.03754629533</v>
      </c>
      <c r="AQ17" s="74">
        <f t="shared" si="28"/>
        <v>0.0451282581</v>
      </c>
      <c r="AR17" s="74">
        <f t="shared" si="28"/>
        <v>0.04904896654</v>
      </c>
      <c r="AS17" s="74">
        <f t="shared" si="28"/>
        <v>0.05687398283</v>
      </c>
      <c r="AT17" s="74">
        <f t="shared" si="28"/>
        <v>0.05129902528</v>
      </c>
      <c r="AU17" s="74">
        <f t="shared" si="28"/>
        <v>0.06302392252</v>
      </c>
      <c r="AV17" s="74">
        <f t="shared" si="28"/>
        <v>0</v>
      </c>
      <c r="AW17" s="74">
        <f t="shared" si="28"/>
        <v>0</v>
      </c>
      <c r="AX17" s="74">
        <f t="shared" si="28"/>
        <v>0</v>
      </c>
      <c r="AY17" s="74">
        <f t="shared" si="28"/>
        <v>0</v>
      </c>
      <c r="AZ17" s="74">
        <f t="shared" si="28"/>
        <v>0</v>
      </c>
      <c r="BA17" s="74">
        <f t="shared" si="28"/>
        <v>0</v>
      </c>
      <c r="BB17" s="168"/>
      <c r="BC17" s="13"/>
      <c r="BD17" s="13"/>
      <c r="BE17" s="46" t="s">
        <v>88</v>
      </c>
      <c r="BF17" s="117">
        <f>O12</f>
        <v>61729990.73</v>
      </c>
      <c r="BG17" s="117">
        <f>AB11</f>
        <v>74621935</v>
      </c>
      <c r="BH17" s="117">
        <f>AB12</f>
        <v>75406704.83</v>
      </c>
      <c r="BI17" s="117">
        <f>AO11</f>
        <v>80880580</v>
      </c>
      <c r="BJ17" s="117">
        <f>AO12</f>
        <v>84049301.98</v>
      </c>
      <c r="BK17" s="117">
        <f>BB11</f>
        <v>91094298.75</v>
      </c>
      <c r="BL17" s="117"/>
      <c r="BM17" s="259"/>
      <c r="BN17" s="259"/>
      <c r="BO17" s="259"/>
      <c r="BP17" s="259"/>
      <c r="BQ17" s="259"/>
      <c r="BR17" s="259"/>
      <c r="BS17" s="259"/>
      <c r="BT17" s="259"/>
      <c r="BU17" s="259"/>
      <c r="BV17" s="259"/>
      <c r="BW17" s="51" t="s">
        <v>93</v>
      </c>
      <c r="BX17" s="52">
        <f>BX16/BX14</f>
        <v>0.5446803938</v>
      </c>
      <c r="BY17" s="52">
        <v>0.65</v>
      </c>
      <c r="BZ17" s="52">
        <f t="shared" ref="BZ17:CA17" si="29">BZ16/BZ14</f>
        <v>0.6541225705</v>
      </c>
      <c r="CA17" s="52">
        <f t="shared" si="29"/>
        <v>0.7016062168</v>
      </c>
      <c r="CB17" s="86"/>
      <c r="CC17" s="52">
        <v>0.8</v>
      </c>
      <c r="CD17" s="82"/>
    </row>
    <row r="18" ht="12.0" customHeight="1">
      <c r="A18" s="6"/>
      <c r="B18" s="36" t="s">
        <v>166</v>
      </c>
      <c r="C18" s="37">
        <f>'SDDPL '!C18+Govind!C18+Parag!C18</f>
        <v>263806.0482</v>
      </c>
      <c r="D18" s="37">
        <f>'SDDPL '!D18+Govind!D18+Parag!D18</f>
        <v>110737.2855</v>
      </c>
      <c r="E18" s="37">
        <f>'SDDPL '!E18+Govind!E18+Parag!E18</f>
        <v>28557.9108</v>
      </c>
      <c r="F18" s="37">
        <f>'SDDPL '!F18+Govind!F18+Parag!F18</f>
        <v>97314.3876</v>
      </c>
      <c r="G18" s="37">
        <f>'SDDPL '!G18+Govind!G18+Parag!G18</f>
        <v>167105.4864</v>
      </c>
      <c r="H18" s="37">
        <f>'SDDPL '!H18+Govind!H18+Parag!H18</f>
        <v>177317.52</v>
      </c>
      <c r="I18" s="37">
        <f>'SDDPL '!I18+Govind!I18+Parag!I18</f>
        <v>191557.1675</v>
      </c>
      <c r="J18" s="37">
        <f>'SDDPL '!J18+Govind!J18+Parag!J18</f>
        <v>188583.4968</v>
      </c>
      <c r="K18" s="37">
        <f>'SDDPL '!K18+Govind!K18+Parag!K18</f>
        <v>176826.5712</v>
      </c>
      <c r="L18" s="37">
        <f>'SDDPL '!L18+Govind!L18+Parag!L18</f>
        <v>221254.8936</v>
      </c>
      <c r="M18" s="37">
        <f>'SDDPL '!M18+Govind!M18+Parag!M18</f>
        <v>62306.18</v>
      </c>
      <c r="N18" s="37">
        <f>'SDDPL '!N18+Govind!N18+Parag!N18</f>
        <v>53006.6226</v>
      </c>
      <c r="O18" s="73"/>
      <c r="P18" s="37">
        <f>'SDDPL '!P18+Govind!P18+Parag!P18</f>
        <v>84823.41307</v>
      </c>
      <c r="Q18" s="37">
        <f>'SDDPL '!Q18+Govind!Q18+Parag!Q18</f>
        <v>95403.85018</v>
      </c>
      <c r="R18" s="37">
        <f>'SDDPL '!R18+Govind!R18+Parag!R18</f>
        <v>97510.66862</v>
      </c>
      <c r="S18" s="37">
        <f>'SDDPL '!S18+Govind!S18+Parag!S18</f>
        <v>113840.3184</v>
      </c>
      <c r="T18" s="37">
        <f>'SDDPL '!T18+Govind!T18+Parag!T18</f>
        <v>156604.116</v>
      </c>
      <c r="U18" s="37">
        <f>'SDDPL '!U18+Govind!U18+Parag!U18</f>
        <v>158164.3228</v>
      </c>
      <c r="V18" s="37">
        <f>'SDDPL '!V18+Govind!V18+Parag!V18</f>
        <v>191543.795</v>
      </c>
      <c r="W18" s="37">
        <f>'SDDPL '!W18+Govind!W18+Parag!W18</f>
        <v>368556.5079</v>
      </c>
      <c r="X18" s="37">
        <f>'SDDPL '!X18+Govind!X18+Parag!X18</f>
        <v>24854.36793</v>
      </c>
      <c r="Y18" s="37">
        <f>'SDDPL '!Y18+Govind!Y18+Parag!Y18</f>
        <v>25135.17183</v>
      </c>
      <c r="Z18" s="37">
        <f>'SDDPL '!Z18+Govind!Z18+Parag!Z18</f>
        <v>20936.12074</v>
      </c>
      <c r="AA18" s="37">
        <f>'SDDPL '!AA18+Govind!AA18+Parag!AA18</f>
        <v>3999.498852</v>
      </c>
      <c r="AB18" s="73"/>
      <c r="AC18" s="37">
        <f>'SDDPL '!AC18+Govind!AC18+Parag!AC18</f>
        <v>16529.80977</v>
      </c>
      <c r="AD18" s="37">
        <f>'SDDPL '!AD18+Govind!AD18+Parag!AD18</f>
        <v>9102.129478</v>
      </c>
      <c r="AE18" s="37">
        <f>'SDDPL '!AE18+Govind!AE18+Parag!AE18</f>
        <v>1677.265936</v>
      </c>
      <c r="AF18" s="37">
        <f>'SDDPL '!AF18+Govind!AF18+Parag!AF18</f>
        <v>0</v>
      </c>
      <c r="AG18" s="37">
        <f>'SDDPL '!AG18+Govind!AG18+Parag!AG18</f>
        <v>1611.754112</v>
      </c>
      <c r="AH18" s="37">
        <f>'SDDPL '!AH18+Govind!AH18+Parag!AH18</f>
        <v>0</v>
      </c>
      <c r="AI18" s="37">
        <f>'SDDPL '!AI18+Govind!AI18+Parag!AI18</f>
        <v>0</v>
      </c>
      <c r="AJ18" s="37">
        <f>'SDDPL '!AJ18+Govind!AJ18+Parag!AJ18</f>
        <v>777</v>
      </c>
      <c r="AK18" s="37">
        <f>'SDDPL '!AK18+Govind!AK18+Parag!AK18</f>
        <v>1690</v>
      </c>
      <c r="AL18" s="37">
        <f>'SDDPL '!AL18+Govind!AL18+Parag!AL18</f>
        <v>10175</v>
      </c>
      <c r="AM18" s="37">
        <f>'SDDPL '!AM18+Govind!AM18+Parag!AM18</f>
        <v>2000</v>
      </c>
      <c r="AN18" s="37">
        <f>'SDDPL '!AN18+Govind!AN18+Parag!AN18</f>
        <v>0</v>
      </c>
      <c r="AO18" s="73">
        <f>AO19*AO12</f>
        <v>42727.1988</v>
      </c>
      <c r="AP18" s="37">
        <f>'SDDPL '!AP18+Govind!AP18+Parag!AP18</f>
        <v>1511</v>
      </c>
      <c r="AQ18" s="37">
        <f>'SDDPL '!AQ18+Govind!AQ18+Parag!AQ18</f>
        <v>0</v>
      </c>
      <c r="AR18" s="37">
        <f>'SDDPL '!AR18+Govind!AR18+Parag!AR18</f>
        <v>1902</v>
      </c>
      <c r="AS18" s="37">
        <f>'SDDPL '!AS18+Govind!AS18+Parag!AS18</f>
        <v>2964</v>
      </c>
      <c r="AT18" s="37">
        <f>'SDDPL '!AT18+Govind!AT18+Parag!AT18</f>
        <v>2671</v>
      </c>
      <c r="AU18" s="37">
        <f>'SDDPL '!AU18+Govind!AU18+Parag!AU18</f>
        <v>306</v>
      </c>
      <c r="AV18" s="37">
        <f>'SDDPL '!AV18+Govind!AV18+Parag!AV18</f>
        <v>0</v>
      </c>
      <c r="AW18" s="37">
        <f>'SDDPL '!AW18+Govind!AW18+Parag!AW18</f>
        <v>0</v>
      </c>
      <c r="AX18" s="37">
        <f>'SDDPL '!AX18+Govind!AX18+Parag!AX18</f>
        <v>0</v>
      </c>
      <c r="AY18" s="37">
        <f>'SDDPL '!AY18+Govind!AY18+Parag!AY18</f>
        <v>0</v>
      </c>
      <c r="AZ18" s="37">
        <f>'SDDPL '!AZ18+Govind!AZ18+Parag!AZ18</f>
        <v>0</v>
      </c>
      <c r="BA18" s="37">
        <f>'SDDPL '!BA18+Govind!BA18+Parag!BA18</f>
        <v>0</v>
      </c>
      <c r="BB18" s="73"/>
      <c r="BC18" s="259"/>
      <c r="BD18" s="259"/>
      <c r="BE18" s="46" t="s">
        <v>90</v>
      </c>
      <c r="BF18" s="117">
        <f>BF17/O7</f>
        <v>169123.2623</v>
      </c>
      <c r="BG18" s="117">
        <f>BG17/AB7</f>
        <v>204443.6575</v>
      </c>
      <c r="BH18" s="117">
        <f>BH17/AB7</f>
        <v>206593.7119</v>
      </c>
      <c r="BI18" s="117">
        <f>BI17/AO7</f>
        <v>220985.1913</v>
      </c>
      <c r="BJ18" s="117">
        <f>BJ17/AO7</f>
        <v>229642.9016</v>
      </c>
      <c r="BK18" s="117">
        <f>BK17/BB7</f>
        <v>503283.4185</v>
      </c>
      <c r="BL18" s="117"/>
      <c r="BM18" s="259"/>
      <c r="BN18" s="259"/>
      <c r="BO18" s="259"/>
      <c r="BP18" s="259"/>
      <c r="BQ18" s="259"/>
      <c r="BR18" s="259"/>
      <c r="BS18" s="259"/>
      <c r="BT18" s="259"/>
      <c r="BU18" s="259"/>
      <c r="BV18" s="259"/>
      <c r="BW18" s="61"/>
      <c r="BX18" s="265"/>
      <c r="BY18" s="64"/>
      <c r="BZ18" s="265"/>
      <c r="CA18" s="64"/>
      <c r="CB18" s="265"/>
      <c r="CC18" s="64"/>
      <c r="CD18" s="265"/>
    </row>
    <row r="19" ht="12.0" customHeight="1">
      <c r="A19" s="6"/>
      <c r="B19" s="36" t="s">
        <v>89</v>
      </c>
      <c r="C19" s="74">
        <f t="shared" ref="C19:N19" si="30">IFERROR(C18/$C$12,0)</f>
        <v>0.05687444123</v>
      </c>
      <c r="D19" s="74">
        <f t="shared" si="30"/>
        <v>0.02387405929</v>
      </c>
      <c r="E19" s="74">
        <f t="shared" si="30"/>
        <v>0.006156853607</v>
      </c>
      <c r="F19" s="74">
        <f t="shared" si="30"/>
        <v>0.02098019153</v>
      </c>
      <c r="G19" s="74">
        <f t="shared" si="30"/>
        <v>0.03602658556</v>
      </c>
      <c r="H19" s="74">
        <f t="shared" si="30"/>
        <v>0.03822821705</v>
      </c>
      <c r="I19" s="74">
        <f t="shared" si="30"/>
        <v>0.04129816939</v>
      </c>
      <c r="J19" s="74">
        <f t="shared" si="30"/>
        <v>0.04065707014</v>
      </c>
      <c r="K19" s="74">
        <f t="shared" si="30"/>
        <v>0.03812237248</v>
      </c>
      <c r="L19" s="74">
        <f t="shared" si="30"/>
        <v>0.04770075792</v>
      </c>
      <c r="M19" s="74">
        <f t="shared" si="30"/>
        <v>0.01343270633</v>
      </c>
      <c r="N19" s="74">
        <f t="shared" si="30"/>
        <v>0.01142779729</v>
      </c>
      <c r="O19" s="168"/>
      <c r="P19" s="74">
        <f t="shared" ref="P19:AA19" si="31">P18/P12</f>
        <v>0.01452227572</v>
      </c>
      <c r="Q19" s="74">
        <f t="shared" si="31"/>
        <v>0.01852829889</v>
      </c>
      <c r="R19" s="74">
        <f t="shared" si="31"/>
        <v>0.01637359107</v>
      </c>
      <c r="S19" s="74">
        <f t="shared" si="31"/>
        <v>0.01880399987</v>
      </c>
      <c r="T19" s="74">
        <f t="shared" si="31"/>
        <v>0.02440737582</v>
      </c>
      <c r="U19" s="74">
        <f t="shared" si="31"/>
        <v>0.02570110604</v>
      </c>
      <c r="V19" s="74">
        <f t="shared" si="31"/>
        <v>0.03179994276</v>
      </c>
      <c r="W19" s="74">
        <f t="shared" si="31"/>
        <v>0.06133349764</v>
      </c>
      <c r="X19" s="74">
        <f t="shared" si="31"/>
        <v>0.003951124442</v>
      </c>
      <c r="Y19" s="74">
        <f t="shared" si="31"/>
        <v>0.003657438286</v>
      </c>
      <c r="Z19" s="74">
        <f t="shared" si="31"/>
        <v>0.002960493913</v>
      </c>
      <c r="AA19" s="74">
        <f t="shared" si="31"/>
        <v>0.0005283390029</v>
      </c>
      <c r="AB19" s="168"/>
      <c r="AC19" s="76">
        <f t="shared" ref="AC19:AN19" si="32">AC18/AC12</f>
        <v>0.002134852936</v>
      </c>
      <c r="AD19" s="76">
        <f t="shared" si="32"/>
        <v>0.001348007117</v>
      </c>
      <c r="AE19" s="76">
        <f t="shared" si="32"/>
        <v>0.000238443229</v>
      </c>
      <c r="AF19" s="76">
        <f t="shared" si="32"/>
        <v>0</v>
      </c>
      <c r="AG19" s="76">
        <f t="shared" si="32"/>
        <v>0.0002186776275</v>
      </c>
      <c r="AH19" s="76">
        <f t="shared" si="32"/>
        <v>0</v>
      </c>
      <c r="AI19" s="76">
        <f t="shared" si="32"/>
        <v>0</v>
      </c>
      <c r="AJ19" s="76">
        <f t="shared" si="32"/>
        <v>0.0001151588945</v>
      </c>
      <c r="AK19" s="76">
        <f t="shared" si="32"/>
        <v>0.0002576415925</v>
      </c>
      <c r="AL19" s="76">
        <f t="shared" si="32"/>
        <v>0.001490897581</v>
      </c>
      <c r="AM19" s="76">
        <f t="shared" si="32"/>
        <v>0.0002966261235</v>
      </c>
      <c r="AN19" s="76">
        <f t="shared" si="32"/>
        <v>0</v>
      </c>
      <c r="AO19" s="80">
        <f>AVERAGE(AC19:AN19)</f>
        <v>0.0005083587584</v>
      </c>
      <c r="AP19" s="76">
        <f t="shared" ref="AP19:BA19" si="33">IFERROR(AP18/AP12,0)</f>
        <v>0.0002238481453</v>
      </c>
      <c r="AQ19" s="76">
        <f t="shared" si="33"/>
        <v>0</v>
      </c>
      <c r="AR19" s="76">
        <f t="shared" si="33"/>
        <v>0.0002906525916</v>
      </c>
      <c r="AS19" s="76">
        <f t="shared" si="33"/>
        <v>0.0004422839989</v>
      </c>
      <c r="AT19" s="76">
        <f t="shared" si="33"/>
        <v>0.0003831864626</v>
      </c>
      <c r="AU19" s="76">
        <f t="shared" si="33"/>
        <v>0.00004502862741</v>
      </c>
      <c r="AV19" s="76">
        <f t="shared" si="33"/>
        <v>0</v>
      </c>
      <c r="AW19" s="76">
        <f t="shared" si="33"/>
        <v>0</v>
      </c>
      <c r="AX19" s="76">
        <f t="shared" si="33"/>
        <v>0</v>
      </c>
      <c r="AY19" s="76">
        <f t="shared" si="33"/>
        <v>0</v>
      </c>
      <c r="AZ19" s="76">
        <f t="shared" si="33"/>
        <v>0</v>
      </c>
      <c r="BA19" s="76">
        <f t="shared" si="33"/>
        <v>0</v>
      </c>
      <c r="BB19" s="168"/>
      <c r="BC19" s="259"/>
      <c r="BD19" s="259"/>
      <c r="BE19" s="51" t="s">
        <v>93</v>
      </c>
      <c r="BF19" s="212">
        <f t="shared" ref="BF19:BK19" si="34">BF18/BF16</f>
        <v>0.5446803938</v>
      </c>
      <c r="BG19" s="212">
        <f t="shared" si="34"/>
        <v>0.6473150107</v>
      </c>
      <c r="BH19" s="212">
        <f t="shared" si="34"/>
        <v>0.6541225705</v>
      </c>
      <c r="BI19" s="212">
        <f t="shared" si="34"/>
        <v>0.6860231005</v>
      </c>
      <c r="BJ19" s="212">
        <f t="shared" si="34"/>
        <v>0.7128999661</v>
      </c>
      <c r="BK19" s="212">
        <f t="shared" si="34"/>
        <v>1.602388172</v>
      </c>
      <c r="BL19" s="213"/>
      <c r="BM19" s="259"/>
      <c r="BN19" s="259"/>
      <c r="BO19" s="259"/>
      <c r="BP19" s="259"/>
      <c r="BQ19" s="259"/>
      <c r="BR19" s="259"/>
      <c r="BS19" s="259"/>
      <c r="BT19" s="259"/>
      <c r="BU19" s="259"/>
      <c r="BV19" s="259"/>
      <c r="BW19" s="4"/>
      <c r="BX19" s="4"/>
      <c r="BY19" s="4"/>
      <c r="BZ19" s="4"/>
      <c r="CA19" s="4"/>
      <c r="CB19" s="4"/>
      <c r="CC19" s="4"/>
      <c r="CD19" s="4"/>
    </row>
    <row r="20" ht="12.0" customHeight="1">
      <c r="A20" s="6"/>
      <c r="B20" s="36" t="s">
        <v>167</v>
      </c>
      <c r="C20" s="37">
        <f>'SDDPL '!C20+Govind!C20+Parag!C20</f>
        <v>0</v>
      </c>
      <c r="D20" s="37">
        <f>'SDDPL '!D20+Govind!D20+Parag!D20</f>
        <v>0</v>
      </c>
      <c r="E20" s="37">
        <f>'SDDPL '!E20+Govind!E20+Parag!E20</f>
        <v>0</v>
      </c>
      <c r="F20" s="37">
        <f>'SDDPL '!F20+Govind!F20+Parag!F20</f>
        <v>0</v>
      </c>
      <c r="G20" s="37">
        <f>'SDDPL '!G20+Govind!G20+Parag!G20</f>
        <v>0</v>
      </c>
      <c r="H20" s="37">
        <f>'SDDPL '!H20+Govind!H20+Parag!H20</f>
        <v>0</v>
      </c>
      <c r="I20" s="37">
        <f>'SDDPL '!I20+Govind!I20+Parag!I20</f>
        <v>0</v>
      </c>
      <c r="J20" s="37">
        <f>'SDDPL '!J20+Govind!J20+Parag!J20</f>
        <v>0</v>
      </c>
      <c r="K20" s="37">
        <f>'SDDPL '!K20+Govind!K20+Parag!K20</f>
        <v>0</v>
      </c>
      <c r="L20" s="37">
        <f>'SDDPL '!L20+Govind!L20+Parag!L20</f>
        <v>0</v>
      </c>
      <c r="M20" s="37">
        <f>'SDDPL '!M20+Govind!M20+Parag!M20</f>
        <v>0</v>
      </c>
      <c r="N20" s="37">
        <f>'SDDPL '!N20+Govind!N20+Parag!N20</f>
        <v>0</v>
      </c>
      <c r="O20" s="73"/>
      <c r="P20" s="37">
        <f>'SDDPL '!P20+Govind!P20+Parag!P20</f>
        <v>0</v>
      </c>
      <c r="Q20" s="37">
        <f>'SDDPL '!Q20+Govind!Q20+Parag!Q20</f>
        <v>0</v>
      </c>
      <c r="R20" s="37">
        <f>'SDDPL '!R20+Govind!R20+Parag!R20</f>
        <v>0</v>
      </c>
      <c r="S20" s="37">
        <f>'SDDPL '!S20+Govind!S20+Parag!S20</f>
        <v>0</v>
      </c>
      <c r="T20" s="37">
        <f>'SDDPL '!T20+Govind!T20+Parag!T20</f>
        <v>0</v>
      </c>
      <c r="U20" s="37">
        <f>'SDDPL '!U20+Govind!U20+Parag!U20</f>
        <v>0</v>
      </c>
      <c r="V20" s="37">
        <f>'SDDPL '!V20+Govind!V20+Parag!V20</f>
        <v>0</v>
      </c>
      <c r="W20" s="37">
        <f>'SDDPL '!W20+Govind!W20+Parag!W20</f>
        <v>212590.5992</v>
      </c>
      <c r="X20" s="37">
        <f>'SDDPL '!X20+Govind!X20+Parag!X20</f>
        <v>290479.3662</v>
      </c>
      <c r="Y20" s="37">
        <f>'SDDPL '!Y20+Govind!Y20+Parag!Y20</f>
        <v>298454.713</v>
      </c>
      <c r="Z20" s="37">
        <f>'SDDPL '!Z20+Govind!Z20+Parag!Z20</f>
        <v>252218.1414</v>
      </c>
      <c r="AA20" s="37">
        <f>'SDDPL '!AA20+Govind!AA20+Parag!AA20</f>
        <v>200260.0566</v>
      </c>
      <c r="AB20" s="73"/>
      <c r="AC20" s="37">
        <f>'SDDPL '!AC20+Govind!AC20+Parag!AC20</f>
        <v>221659.4899</v>
      </c>
      <c r="AD20" s="37">
        <f>'SDDPL '!AD20+Govind!AD20+Parag!AD20</f>
        <v>143421.7297</v>
      </c>
      <c r="AE20" s="37">
        <f>'SDDPL '!AE20+Govind!AE20+Parag!AE20</f>
        <v>199976.0663</v>
      </c>
      <c r="AF20" s="37">
        <f>'SDDPL '!AF20+Govind!AF20+Parag!AF20</f>
        <v>135217.4917</v>
      </c>
      <c r="AG20" s="37">
        <f>'SDDPL '!AG20+Govind!AG20+Parag!AG20</f>
        <v>158518.8615</v>
      </c>
      <c r="AH20" s="37">
        <f>'SDDPL '!AH20+Govind!AH20+Parag!AH20</f>
        <v>146277.02</v>
      </c>
      <c r="AI20" s="37">
        <f>'SDDPL '!AI20+Govind!AI20+Parag!AI20</f>
        <v>99803.97385</v>
      </c>
      <c r="AJ20" s="37">
        <f>'SDDPL '!AJ20+Govind!AJ20+Parag!AJ20</f>
        <v>108667.81</v>
      </c>
      <c r="AK20" s="37">
        <f>'SDDPL '!AK20+Govind!AK20+Parag!AK20</f>
        <v>61329.83</v>
      </c>
      <c r="AL20" s="37">
        <f>'SDDPL '!AL20+Govind!AL20+Parag!AL20</f>
        <v>72503.86</v>
      </c>
      <c r="AM20" s="37">
        <f>'SDDPL '!AM20+Govind!AM20+Parag!AM20</f>
        <v>87787.83</v>
      </c>
      <c r="AN20" s="37">
        <f>'SDDPL '!AN20+Govind!AN20+Parag!AN20</f>
        <v>95502.02</v>
      </c>
      <c r="AO20" s="73">
        <f>AO21*AO12</f>
        <v>1514449.843</v>
      </c>
      <c r="AP20" s="37">
        <f>'SDDPL '!AP20+Govind!AP20+Parag!AP20</f>
        <v>89330.8</v>
      </c>
      <c r="AQ20" s="37">
        <f>'SDDPL '!AQ20+Govind!AQ20+Parag!AQ20</f>
        <v>78611.84</v>
      </c>
      <c r="AR20" s="37">
        <f>'SDDPL '!AR20+Govind!AR20+Parag!AR20</f>
        <v>101686.7</v>
      </c>
      <c r="AS20" s="37">
        <f>'SDDPL '!AS20+Govind!AS20+Parag!AS20</f>
        <v>96792.34</v>
      </c>
      <c r="AT20" s="37">
        <f>'SDDPL '!AT20+Govind!AT20+Parag!AT20</f>
        <v>79815.8</v>
      </c>
      <c r="AU20" s="37">
        <f>'SDDPL '!AU20+Govind!AU20+Parag!AU20</f>
        <v>131502.88</v>
      </c>
      <c r="AV20" s="37">
        <f>'SDDPL '!AV20+Govind!AV20+Parag!AV20</f>
        <v>0</v>
      </c>
      <c r="AW20" s="37">
        <f>'SDDPL '!AW20+Govind!AW20+Parag!AW20</f>
        <v>0</v>
      </c>
      <c r="AX20" s="37">
        <f>'SDDPL '!AX20+Govind!AX20+Parag!AX20</f>
        <v>0</v>
      </c>
      <c r="AY20" s="37">
        <f>'SDDPL '!AY20+Govind!AY20+Parag!AY20</f>
        <v>0</v>
      </c>
      <c r="AZ20" s="37">
        <f>'SDDPL '!AZ20+Govind!AZ20+Parag!AZ20</f>
        <v>0</v>
      </c>
      <c r="BA20" s="37">
        <f>'SDDPL '!BA20+Govind!BA20+Parag!BA20</f>
        <v>0</v>
      </c>
      <c r="BB20" s="73"/>
      <c r="BC20" s="259"/>
      <c r="BD20" s="259"/>
      <c r="BE20" s="107"/>
      <c r="BF20" s="107"/>
      <c r="BG20" s="107"/>
      <c r="BH20" s="107"/>
      <c r="BI20" s="107"/>
      <c r="BJ20" s="107"/>
      <c r="BK20" s="107"/>
      <c r="BL20" s="107"/>
      <c r="BM20" s="259"/>
      <c r="BN20" s="259"/>
      <c r="BO20" s="259"/>
      <c r="BP20" s="259"/>
      <c r="BQ20" s="259"/>
      <c r="BR20" s="259"/>
      <c r="BS20" s="259"/>
      <c r="BT20" s="259"/>
      <c r="BU20" s="259"/>
      <c r="BV20" s="259"/>
      <c r="BW20" s="33"/>
      <c r="BX20" s="33" t="s">
        <v>55</v>
      </c>
      <c r="BY20" s="34" t="s">
        <v>56</v>
      </c>
      <c r="BZ20" s="72"/>
      <c r="CA20" s="262" t="s">
        <v>57</v>
      </c>
      <c r="CB20" s="263"/>
      <c r="CC20" s="34" t="s">
        <v>58</v>
      </c>
      <c r="CD20" s="72"/>
    </row>
    <row r="21" ht="12.0" customHeight="1">
      <c r="A21" s="6"/>
      <c r="B21" s="36" t="s">
        <v>94</v>
      </c>
      <c r="C21" s="74">
        <f t="shared" ref="C21:N21" si="35">C20/C12</f>
        <v>0</v>
      </c>
      <c r="D21" s="74">
        <f t="shared" si="35"/>
        <v>0</v>
      </c>
      <c r="E21" s="74">
        <f t="shared" si="35"/>
        <v>0</v>
      </c>
      <c r="F21" s="74">
        <f t="shared" si="35"/>
        <v>0</v>
      </c>
      <c r="G21" s="74">
        <f t="shared" si="35"/>
        <v>0</v>
      </c>
      <c r="H21" s="74">
        <f t="shared" si="35"/>
        <v>0</v>
      </c>
      <c r="I21" s="74">
        <f t="shared" si="35"/>
        <v>0</v>
      </c>
      <c r="J21" s="74">
        <f t="shared" si="35"/>
        <v>0</v>
      </c>
      <c r="K21" s="74">
        <f t="shared" si="35"/>
        <v>0</v>
      </c>
      <c r="L21" s="74">
        <f t="shared" si="35"/>
        <v>0</v>
      </c>
      <c r="M21" s="74">
        <f t="shared" si="35"/>
        <v>0</v>
      </c>
      <c r="N21" s="74">
        <f t="shared" si="35"/>
        <v>0</v>
      </c>
      <c r="O21" s="168"/>
      <c r="P21" s="74">
        <f t="shared" ref="P21:AA21" si="36">P20/P12</f>
        <v>0</v>
      </c>
      <c r="Q21" s="74">
        <f t="shared" si="36"/>
        <v>0</v>
      </c>
      <c r="R21" s="74">
        <f t="shared" si="36"/>
        <v>0</v>
      </c>
      <c r="S21" s="74">
        <f t="shared" si="36"/>
        <v>0</v>
      </c>
      <c r="T21" s="74">
        <f t="shared" si="36"/>
        <v>0</v>
      </c>
      <c r="U21" s="74">
        <f t="shared" si="36"/>
        <v>0</v>
      </c>
      <c r="V21" s="74">
        <f t="shared" si="36"/>
        <v>0</v>
      </c>
      <c r="W21" s="74">
        <f t="shared" si="36"/>
        <v>0.03537836054</v>
      </c>
      <c r="X21" s="74">
        <f t="shared" si="36"/>
        <v>0.04617780371</v>
      </c>
      <c r="Y21" s="74">
        <f t="shared" si="36"/>
        <v>0.04342837604</v>
      </c>
      <c r="Z21" s="74">
        <f t="shared" si="36"/>
        <v>0.03566516842</v>
      </c>
      <c r="AA21" s="74">
        <f t="shared" si="36"/>
        <v>0.02645461407</v>
      </c>
      <c r="AB21" s="168"/>
      <c r="AC21" s="74">
        <f t="shared" ref="AC21:AN21" si="37">AC20/AC12</f>
        <v>0.02862769867</v>
      </c>
      <c r="AD21" s="74">
        <f t="shared" si="37"/>
        <v>0.02124047047</v>
      </c>
      <c r="AE21" s="74">
        <f t="shared" si="37"/>
        <v>0.02842896762</v>
      </c>
      <c r="AF21" s="74">
        <f t="shared" si="37"/>
        <v>0.01953206299</v>
      </c>
      <c r="AG21" s="74">
        <f t="shared" si="37"/>
        <v>0.02150733061</v>
      </c>
      <c r="AH21" s="74">
        <f t="shared" si="37"/>
        <v>0.01984818914</v>
      </c>
      <c r="AI21" s="74">
        <f t="shared" si="37"/>
        <v>0.01389243002</v>
      </c>
      <c r="AJ21" s="74">
        <f t="shared" si="37"/>
        <v>0.0161056176</v>
      </c>
      <c r="AK21" s="74">
        <f t="shared" si="37"/>
        <v>0.009349772229</v>
      </c>
      <c r="AL21" s="74">
        <f t="shared" si="37"/>
        <v>0.01062366874</v>
      </c>
      <c r="AM21" s="74">
        <f t="shared" si="37"/>
        <v>0.01302008185</v>
      </c>
      <c r="AN21" s="74">
        <f t="shared" si="37"/>
        <v>0.01404678025</v>
      </c>
      <c r="AO21" s="80">
        <f>AVERAGE(AC21:AN21)</f>
        <v>0.01801858918</v>
      </c>
      <c r="AP21" s="74">
        <f t="shared" ref="AP21:BA21" si="38">IFERROR(AP20/AP12,0)</f>
        <v>0.01323397346</v>
      </c>
      <c r="AQ21" s="74">
        <f t="shared" si="38"/>
        <v>0.01314270762</v>
      </c>
      <c r="AR21" s="74">
        <f t="shared" si="38"/>
        <v>0.01553917081</v>
      </c>
      <c r="AS21" s="74">
        <f t="shared" si="38"/>
        <v>0.0144432197</v>
      </c>
      <c r="AT21" s="74">
        <f t="shared" si="38"/>
        <v>0.01145051818</v>
      </c>
      <c r="AU21" s="74">
        <f t="shared" si="38"/>
        <v>0.0193509614</v>
      </c>
      <c r="AV21" s="74">
        <f t="shared" si="38"/>
        <v>0</v>
      </c>
      <c r="AW21" s="74">
        <f t="shared" si="38"/>
        <v>0</v>
      </c>
      <c r="AX21" s="74">
        <f t="shared" si="38"/>
        <v>0</v>
      </c>
      <c r="AY21" s="74">
        <f t="shared" si="38"/>
        <v>0</v>
      </c>
      <c r="AZ21" s="74">
        <f t="shared" si="38"/>
        <v>0</v>
      </c>
      <c r="BA21" s="74">
        <f t="shared" si="38"/>
        <v>0</v>
      </c>
      <c r="BB21" s="168"/>
      <c r="BC21" s="259"/>
      <c r="BD21" s="259"/>
      <c r="BE21" s="105"/>
      <c r="BF21" s="105"/>
      <c r="BG21" s="105"/>
      <c r="BH21" s="105"/>
      <c r="BI21" s="105"/>
      <c r="BJ21" s="105"/>
      <c r="BK21" s="105"/>
      <c r="BL21" s="105"/>
      <c r="BM21" s="259"/>
      <c r="BN21" s="259"/>
      <c r="BO21" s="259"/>
      <c r="BP21" s="259"/>
      <c r="BQ21" s="259"/>
      <c r="BR21" s="259"/>
      <c r="BS21" s="259"/>
      <c r="BT21" s="259"/>
      <c r="BU21" s="259"/>
      <c r="BV21" s="259"/>
      <c r="BW21" s="42" t="s">
        <v>98</v>
      </c>
      <c r="BX21" s="45" t="s">
        <v>84</v>
      </c>
      <c r="BY21" s="44" t="s">
        <v>62</v>
      </c>
      <c r="BZ21" s="45" t="s">
        <v>63</v>
      </c>
      <c r="CA21" s="44" t="s">
        <v>62</v>
      </c>
      <c r="CB21" s="45" t="s">
        <v>63</v>
      </c>
      <c r="CC21" s="44" t="s">
        <v>62</v>
      </c>
      <c r="CD21" s="45" t="s">
        <v>63</v>
      </c>
    </row>
    <row r="22" ht="12.0" customHeight="1">
      <c r="A22" s="6"/>
      <c r="B22" s="36" t="s">
        <v>168</v>
      </c>
      <c r="C22" s="37">
        <f>'SDDPL '!C22+Govind!C22+Parag!C22</f>
        <v>26913.8028</v>
      </c>
      <c r="D22" s="37">
        <f>'SDDPL '!D22+Govind!D22+Parag!D22</f>
        <v>40413.4011</v>
      </c>
      <c r="E22" s="37">
        <f>'SDDPL '!E22+Govind!E22+Parag!E22</f>
        <v>42043.5909</v>
      </c>
      <c r="F22" s="37">
        <f>'SDDPL '!F22+Govind!F22+Parag!F22</f>
        <v>0</v>
      </c>
      <c r="G22" s="37">
        <f>'SDDPL '!G22+Govind!G22+Parag!G22</f>
        <v>33538.7772</v>
      </c>
      <c r="H22" s="37">
        <f>'SDDPL '!H22+Govind!H22+Parag!H22</f>
        <v>25167.648</v>
      </c>
      <c r="I22" s="37">
        <f>'SDDPL '!I22+Govind!I22+Parag!I22</f>
        <v>40268.952</v>
      </c>
      <c r="J22" s="37">
        <f>'SDDPL '!J22+Govind!J22+Parag!J22</f>
        <v>13818.6183</v>
      </c>
      <c r="K22" s="37">
        <f>'SDDPL '!K22+Govind!K22+Parag!K22</f>
        <v>9973.4499</v>
      </c>
      <c r="L22" s="37">
        <f>'SDDPL '!L22+Govind!L22+Parag!L22</f>
        <v>50832.7976</v>
      </c>
      <c r="M22" s="37">
        <f>'SDDPL '!M22+Govind!M22+Parag!M22</f>
        <v>40810.5479</v>
      </c>
      <c r="N22" s="37">
        <f>'SDDPL '!N22+Govind!N22+Parag!N22</f>
        <v>70900.578</v>
      </c>
      <c r="O22" s="73"/>
      <c r="P22" s="37">
        <f>'SDDPL '!P22+Govind!P22+Parag!P22</f>
        <v>93732.37676</v>
      </c>
      <c r="Q22" s="37">
        <f>'SDDPL '!Q22+Govind!Q22+Parag!Q22</f>
        <v>94655.64005</v>
      </c>
      <c r="R22" s="37">
        <f>'SDDPL '!R22+Govind!R22+Parag!R22</f>
        <v>152666.7582</v>
      </c>
      <c r="S22" s="37">
        <f>'SDDPL '!S22+Govind!S22+Parag!S22</f>
        <v>63876.02228</v>
      </c>
      <c r="T22" s="37">
        <f>'SDDPL '!T22+Govind!T22+Parag!T22</f>
        <v>28731.81679</v>
      </c>
      <c r="U22" s="37">
        <f>'SDDPL '!U22+Govind!U22+Parag!U22</f>
        <v>108080.0238</v>
      </c>
      <c r="V22" s="37">
        <f>'SDDPL '!V22+Govind!V22+Parag!V22</f>
        <v>51766.09013</v>
      </c>
      <c r="W22" s="37">
        <f>'SDDPL '!W22+Govind!W22+Parag!W22</f>
        <v>47321.66181</v>
      </c>
      <c r="X22" s="37">
        <f>'SDDPL '!X22+Govind!X22+Parag!X22</f>
        <v>3740.207968</v>
      </c>
      <c r="Y22" s="37">
        <f>'SDDPL '!Y22+Govind!Y22+Parag!Y22</f>
        <v>11333.73184</v>
      </c>
      <c r="Z22" s="37">
        <f>'SDDPL '!Z22+Govind!Z22+Parag!Z22</f>
        <v>0</v>
      </c>
      <c r="AA22" s="37">
        <f>'SDDPL '!AA22+Govind!AA22+Parag!AA22</f>
        <v>7490.4308</v>
      </c>
      <c r="AB22" s="73"/>
      <c r="AC22" s="37">
        <f>'SDDPL '!AC22+Govind!AC22+Parag!AC22</f>
        <v>0</v>
      </c>
      <c r="AD22" s="37">
        <f>'SDDPL '!AD22+Govind!AD22+Parag!AD22</f>
        <v>3587.693508</v>
      </c>
      <c r="AE22" s="37">
        <f>'SDDPL '!AE22+Govind!AE22+Parag!AE22</f>
        <v>2157.617006</v>
      </c>
      <c r="AF22" s="37">
        <f>'SDDPL '!AF22+Govind!AF22+Parag!AF22</f>
        <v>17512.27157</v>
      </c>
      <c r="AG22" s="37">
        <f>'SDDPL '!AG22+Govind!AG22+Parag!AG22</f>
        <v>1612.75272</v>
      </c>
      <c r="AH22" s="37">
        <f>'SDDPL '!AH22+Govind!AH22+Parag!AH22</f>
        <v>11338</v>
      </c>
      <c r="AI22" s="37">
        <f>'SDDPL '!AI22+Govind!AI22+Parag!AI22</f>
        <v>0</v>
      </c>
      <c r="AJ22" s="37">
        <f>'SDDPL '!AJ22+Govind!AJ22+Parag!AJ22</f>
        <v>0</v>
      </c>
      <c r="AK22" s="37">
        <f>'SDDPL '!AK22+Govind!AK22+Parag!AK22</f>
        <v>0</v>
      </c>
      <c r="AL22" s="37">
        <f>'SDDPL '!AL22+Govind!AL22+Parag!AL22</f>
        <v>1447</v>
      </c>
      <c r="AM22" s="37">
        <f>'SDDPL '!AM22+Govind!AM22+Parag!AM22</f>
        <v>0</v>
      </c>
      <c r="AN22" s="37">
        <f>'SDDPL '!AN22+Govind!AN22+Parag!AN22</f>
        <v>0</v>
      </c>
      <c r="AO22" s="73">
        <f>AO23*AO12</f>
        <v>37380.73957</v>
      </c>
      <c r="AP22" s="37">
        <f>'SDDPL '!AP22+Govind!AP22+Parag!AP22</f>
        <v>0</v>
      </c>
      <c r="AQ22" s="37">
        <f>'SDDPL '!AQ22+Govind!AQ22+Parag!AQ22</f>
        <v>300</v>
      </c>
      <c r="AR22" s="37">
        <f>'SDDPL '!AR22+Govind!AR22+Parag!AR22</f>
        <v>1700</v>
      </c>
      <c r="AS22" s="37">
        <f>'SDDPL '!AS22+Govind!AS22+Parag!AS22</f>
        <v>2964</v>
      </c>
      <c r="AT22" s="37">
        <f>'SDDPL '!AT22+Govind!AT22+Parag!AT22</f>
        <v>1895</v>
      </c>
      <c r="AU22" s="37">
        <f>'SDDPL '!AU22+Govind!AU22+Parag!AU22</f>
        <v>895</v>
      </c>
      <c r="AV22" s="37">
        <f>'SDDPL '!AV22+Govind!AV22+Parag!AV22</f>
        <v>0</v>
      </c>
      <c r="AW22" s="37">
        <f>'SDDPL '!AW22+Govind!AW22+Parag!AW22</f>
        <v>0</v>
      </c>
      <c r="AX22" s="37">
        <f>'SDDPL '!AX22+Govind!AX22+Parag!AX22</f>
        <v>0</v>
      </c>
      <c r="AY22" s="37">
        <f>'SDDPL '!AY22+Govind!AY22+Parag!AY22</f>
        <v>0</v>
      </c>
      <c r="AZ22" s="37">
        <f>'SDDPL '!AZ22+Govind!AZ22+Parag!AZ22</f>
        <v>0</v>
      </c>
      <c r="BA22" s="37">
        <f>'SDDPL '!BA22+Govind!BA22+Parag!BA22</f>
        <v>0</v>
      </c>
      <c r="BB22" s="73"/>
      <c r="BC22" s="259"/>
      <c r="BD22" s="259"/>
      <c r="BE22" s="105"/>
      <c r="BF22" s="105"/>
      <c r="BG22" s="105"/>
      <c r="BH22" s="105"/>
      <c r="BI22" s="105"/>
      <c r="BJ22" s="105"/>
      <c r="BK22" s="105"/>
      <c r="BL22" s="105"/>
      <c r="BM22" s="259"/>
      <c r="BN22" s="259"/>
      <c r="BO22" s="259"/>
      <c r="BP22" s="259"/>
      <c r="BQ22" s="259"/>
      <c r="BR22" s="259"/>
      <c r="BS22" s="259"/>
      <c r="BT22" s="259"/>
      <c r="BU22" s="259"/>
      <c r="BV22" s="259"/>
      <c r="BW22" s="46" t="s">
        <v>100</v>
      </c>
      <c r="BX22" s="41">
        <f t="shared" ref="BX22:BZ22" si="39">BX31</f>
        <v>8347</v>
      </c>
      <c r="BY22" s="41">
        <f t="shared" si="39"/>
        <v>9735</v>
      </c>
      <c r="BZ22" s="41">
        <f t="shared" si="39"/>
        <v>10676</v>
      </c>
      <c r="CA22" s="41">
        <f>'SDDPL '!CA25+Govind!CA25+Parag!DE22</f>
        <v>12250</v>
      </c>
      <c r="CB22" s="41">
        <f>'SDDPL '!AC39+Govind!AC39+Parag!AC39</f>
        <v>10775</v>
      </c>
      <c r="CC22" s="41">
        <v>14125.0</v>
      </c>
      <c r="CD22" s="41"/>
    </row>
    <row r="23" ht="12.0" customHeight="1">
      <c r="A23" s="6"/>
      <c r="B23" s="36" t="s">
        <v>96</v>
      </c>
      <c r="C23" s="74">
        <f t="shared" ref="C23:N23" si="40">C22/C12</f>
        <v>0.005802397277</v>
      </c>
      <c r="D23" s="74">
        <f t="shared" si="40"/>
        <v>0.00971305211</v>
      </c>
      <c r="E23" s="74">
        <f t="shared" si="40"/>
        <v>0.008654349653</v>
      </c>
      <c r="F23" s="74">
        <f t="shared" si="40"/>
        <v>0</v>
      </c>
      <c r="G23" s="74">
        <f t="shared" si="40"/>
        <v>0.006096083438</v>
      </c>
      <c r="H23" s="74">
        <f t="shared" si="40"/>
        <v>0.00465293852</v>
      </c>
      <c r="I23" s="74">
        <f t="shared" si="40"/>
        <v>0.007592590215</v>
      </c>
      <c r="J23" s="74">
        <f t="shared" si="40"/>
        <v>0.002708427919</v>
      </c>
      <c r="K23" s="74">
        <f t="shared" si="40"/>
        <v>0.001996164139</v>
      </c>
      <c r="L23" s="74">
        <f t="shared" si="40"/>
        <v>0.009517579189</v>
      </c>
      <c r="M23" s="74">
        <f t="shared" si="40"/>
        <v>0.0074050224</v>
      </c>
      <c r="N23" s="74">
        <f t="shared" si="40"/>
        <v>0.01220603298</v>
      </c>
      <c r="O23" s="168"/>
      <c r="P23" s="74">
        <f t="shared" ref="P23:AA23" si="41">P22/P12</f>
        <v>0.01604754359</v>
      </c>
      <c r="Q23" s="74">
        <f t="shared" si="41"/>
        <v>0.01838298965</v>
      </c>
      <c r="R23" s="74">
        <f t="shared" si="41"/>
        <v>0.02563517516</v>
      </c>
      <c r="S23" s="74">
        <f t="shared" si="41"/>
        <v>0.01055096061</v>
      </c>
      <c r="T23" s="74">
        <f t="shared" si="41"/>
        <v>0.004477968192</v>
      </c>
      <c r="U23" s="74">
        <f t="shared" si="41"/>
        <v>0.0175625963</v>
      </c>
      <c r="V23" s="74">
        <f t="shared" si="41"/>
        <v>0.008594163562</v>
      </c>
      <c r="W23" s="74">
        <f t="shared" si="41"/>
        <v>0.007875055714</v>
      </c>
      <c r="X23" s="74">
        <f t="shared" si="41"/>
        <v>0.0005945847088</v>
      </c>
      <c r="Y23" s="74">
        <f t="shared" si="41"/>
        <v>0.001649180083</v>
      </c>
      <c r="Z23" s="74">
        <f t="shared" si="41"/>
        <v>0</v>
      </c>
      <c r="AA23" s="74">
        <f t="shared" si="41"/>
        <v>0.0009894956559</v>
      </c>
      <c r="AB23" s="168"/>
      <c r="AC23" s="74">
        <f t="shared" ref="AC23:AN23" si="42">AC22/AC12</f>
        <v>0</v>
      </c>
      <c r="AD23" s="74">
        <f t="shared" si="42"/>
        <v>0.0005313302118</v>
      </c>
      <c r="AE23" s="74">
        <f t="shared" si="42"/>
        <v>0.000306730826</v>
      </c>
      <c r="AF23" s="74">
        <f t="shared" si="42"/>
        <v>0.0025296342</v>
      </c>
      <c r="AG23" s="74">
        <f t="shared" si="42"/>
        <v>0.0002188131155</v>
      </c>
      <c r="AH23" s="74">
        <f t="shared" si="42"/>
        <v>0.001538442392</v>
      </c>
      <c r="AI23" s="74">
        <f t="shared" si="42"/>
        <v>0</v>
      </c>
      <c r="AJ23" s="74">
        <f t="shared" si="42"/>
        <v>0</v>
      </c>
      <c r="AK23" s="74">
        <f t="shared" si="42"/>
        <v>0</v>
      </c>
      <c r="AL23" s="74">
        <f t="shared" si="42"/>
        <v>0.0002120224864</v>
      </c>
      <c r="AM23" s="74">
        <f t="shared" si="42"/>
        <v>0</v>
      </c>
      <c r="AN23" s="74">
        <f t="shared" si="42"/>
        <v>0</v>
      </c>
      <c r="AO23" s="80">
        <f>AVERAGE(AC23:AN23)</f>
        <v>0.0004447477693</v>
      </c>
      <c r="AP23" s="74">
        <f t="shared" ref="AP23:BA23" si="43">IFERROR(AP22/AP12,0)</f>
        <v>0</v>
      </c>
      <c r="AQ23" s="74">
        <f t="shared" si="43"/>
        <v>0.00005015545097</v>
      </c>
      <c r="AR23" s="74">
        <f t="shared" si="43"/>
        <v>0.000259784125</v>
      </c>
      <c r="AS23" s="74">
        <f t="shared" si="43"/>
        <v>0.0004422839989</v>
      </c>
      <c r="AT23" s="74">
        <f t="shared" si="43"/>
        <v>0.0002718601073</v>
      </c>
      <c r="AU23" s="74">
        <f t="shared" si="43"/>
        <v>0.0001317013776</v>
      </c>
      <c r="AV23" s="74">
        <f t="shared" si="43"/>
        <v>0</v>
      </c>
      <c r="AW23" s="74">
        <f t="shared" si="43"/>
        <v>0</v>
      </c>
      <c r="AX23" s="74">
        <f t="shared" si="43"/>
        <v>0</v>
      </c>
      <c r="AY23" s="74">
        <f t="shared" si="43"/>
        <v>0</v>
      </c>
      <c r="AZ23" s="74">
        <f t="shared" si="43"/>
        <v>0</v>
      </c>
      <c r="BA23" s="74">
        <f t="shared" si="43"/>
        <v>0</v>
      </c>
      <c r="BB23" s="168"/>
      <c r="BC23" s="259"/>
      <c r="BD23" s="259"/>
      <c r="BE23" s="117"/>
      <c r="BF23" s="193" t="s">
        <v>55</v>
      </c>
      <c r="BG23" s="193" t="s">
        <v>56</v>
      </c>
      <c r="BH23" s="193"/>
      <c r="BI23" s="193" t="s">
        <v>57</v>
      </c>
      <c r="BJ23" s="193"/>
      <c r="BK23" s="193" t="s">
        <v>58</v>
      </c>
      <c r="BL23" s="193"/>
      <c r="BM23" s="259"/>
      <c r="BN23" s="259"/>
      <c r="BO23" s="259"/>
      <c r="BP23" s="259"/>
      <c r="BQ23" s="259"/>
      <c r="BR23" s="259"/>
      <c r="BS23" s="259"/>
      <c r="BT23" s="259"/>
      <c r="BU23" s="259"/>
      <c r="BV23" s="259"/>
      <c r="BW23" s="46" t="s">
        <v>102</v>
      </c>
      <c r="BX23" s="41">
        <f>N40</f>
        <v>524</v>
      </c>
      <c r="BY23" s="41">
        <f>AA41</f>
        <v>1466</v>
      </c>
      <c r="BZ23" s="41">
        <f>AA40</f>
        <v>2525</v>
      </c>
      <c r="CA23" s="41">
        <f>CA22*CA24</f>
        <v>4900</v>
      </c>
      <c r="CB23" s="41">
        <v>2715.0</v>
      </c>
      <c r="CC23" s="41">
        <f>CC22*CC24</f>
        <v>8475</v>
      </c>
      <c r="CD23" s="41"/>
    </row>
    <row r="24" ht="12.0" customHeight="1">
      <c r="A24" s="6"/>
      <c r="B24" s="36" t="s">
        <v>169</v>
      </c>
      <c r="C24" s="37">
        <f>'SDDPL '!C24+Govind!C24+Parag!C24</f>
        <v>1524184.511</v>
      </c>
      <c r="D24" s="37">
        <f>'SDDPL '!D24+Govind!D24+Parag!D24</f>
        <v>1088193.614</v>
      </c>
      <c r="E24" s="37">
        <f>'SDDPL '!E24+Govind!E24+Parag!E24</f>
        <v>856737.324</v>
      </c>
      <c r="F24" s="37">
        <f>'SDDPL '!F24+Govind!F24+Parag!F24</f>
        <v>1380544.787</v>
      </c>
      <c r="G24" s="37">
        <f>'SDDPL '!G24+Govind!G24+Parag!G24</f>
        <v>1880819.321</v>
      </c>
      <c r="H24" s="37">
        <f>'SDDPL '!H24+Govind!H24+Parag!H24</f>
        <v>1792336.932</v>
      </c>
      <c r="I24" s="37">
        <f>'SDDPL '!I24+Govind!I24+Parag!I24</f>
        <v>2034700.658</v>
      </c>
      <c r="J24" s="37">
        <f>'SDDPL '!J24+Govind!J24+Parag!J24</f>
        <v>1786937.014</v>
      </c>
      <c r="K24" s="37">
        <f>'SDDPL '!K24+Govind!K24+Parag!K24</f>
        <v>1823254.463</v>
      </c>
      <c r="L24" s="37">
        <f>'SDDPL '!L24+Govind!L24+Parag!L24</f>
        <v>1969844.365</v>
      </c>
      <c r="M24" s="37">
        <f>'SDDPL '!M24+Govind!M24+Parag!M24</f>
        <v>1457341.55</v>
      </c>
      <c r="N24" s="37">
        <f>'SDDPL '!N24+Govind!N24+Parag!N24</f>
        <v>1082077.869</v>
      </c>
      <c r="O24" s="73"/>
      <c r="P24" s="37">
        <f>'SDDPL '!P24+Govind!P24+Parag!P24</f>
        <v>1014952.179</v>
      </c>
      <c r="Q24" s="37">
        <f>'SDDPL '!Q24+Govind!Q24+Parag!Q24</f>
        <v>1195210.626</v>
      </c>
      <c r="R24" s="37">
        <f>'SDDPL '!R24+Govind!R24+Parag!R24</f>
        <v>1544488.964</v>
      </c>
      <c r="S24" s="37">
        <f>'SDDPL '!S24+Govind!S24+Parag!S24</f>
        <v>1312311.87</v>
      </c>
      <c r="T24" s="37">
        <f>'SDDPL '!T24+Govind!T24+Parag!T24</f>
        <v>1139664.752</v>
      </c>
      <c r="U24" s="37">
        <f>'SDDPL '!U24+Govind!U24+Parag!U24</f>
        <v>1273991.569</v>
      </c>
      <c r="V24" s="37">
        <f>'SDDPL '!V24+Govind!V24+Parag!V24</f>
        <v>962922.4233</v>
      </c>
      <c r="W24" s="37">
        <f>'SDDPL '!W24+Govind!W24+Parag!W24</f>
        <v>1497243.057</v>
      </c>
      <c r="X24" s="37">
        <f>'SDDPL '!X24+Govind!X24+Parag!X24</f>
        <v>702669.1453</v>
      </c>
      <c r="Y24" s="37">
        <f>'SDDPL '!Y24+Govind!Y24+Parag!Y24</f>
        <v>864761.4393</v>
      </c>
      <c r="Z24" s="37">
        <f>'SDDPL '!Z24+Govind!Z24+Parag!Z24</f>
        <v>615741.0077</v>
      </c>
      <c r="AA24" s="37">
        <f>'SDDPL '!AA24+Govind!AA24+Parag!AA24</f>
        <v>573002.0239</v>
      </c>
      <c r="AB24" s="73"/>
      <c r="AC24" s="37">
        <f>'SDDPL '!AC24+Govind!AC24+Parag!AC24</f>
        <v>649251.401</v>
      </c>
      <c r="AD24" s="37">
        <f>'SDDPL '!AD24+Govind!AD24+Parag!AD24</f>
        <v>433704.6387</v>
      </c>
      <c r="AE24" s="37">
        <f>'SDDPL '!AE24+Govind!AE24+Parag!AE24</f>
        <v>688506.5101</v>
      </c>
      <c r="AF24" s="37">
        <f>'SDDPL '!AF24+Govind!AF24+Parag!AF24</f>
        <v>777670.2975</v>
      </c>
      <c r="AG24" s="37">
        <f>'SDDPL '!AG24+Govind!AG24+Parag!AG24</f>
        <v>687107.4603</v>
      </c>
      <c r="AH24" s="37">
        <f>'SDDPL '!AH24+Govind!AH24+Parag!AH24</f>
        <v>724110.46</v>
      </c>
      <c r="AI24" s="37">
        <f>'SDDPL '!AI24+Govind!AI24+Parag!AI24</f>
        <v>663959.56</v>
      </c>
      <c r="AJ24" s="37">
        <f>'SDDPL '!AJ24+Govind!AJ24+Parag!AJ24</f>
        <v>597441.67</v>
      </c>
      <c r="AK24" s="37">
        <f>'SDDPL '!AK24+Govind!AK24+Parag!AK24</f>
        <v>491094.21</v>
      </c>
      <c r="AL24" s="37">
        <f>'SDDPL '!AL24+Govind!AL24+Parag!AL24</f>
        <v>540310.63</v>
      </c>
      <c r="AM24" s="37">
        <f>'SDDPL '!AM24+Govind!AM24+Parag!AM24</f>
        <v>509568.35</v>
      </c>
      <c r="AN24" s="37">
        <f>'SDDPL '!AN24+Govind!AN24+Parag!AN24</f>
        <v>335895.84</v>
      </c>
      <c r="AO24" s="73">
        <f>AO25*AO12</f>
        <v>7072465.782</v>
      </c>
      <c r="AP24" s="37">
        <f>'SDDPL '!AP24+Govind!AP24+Parag!AP24</f>
        <v>277258.13</v>
      </c>
      <c r="AQ24" s="37">
        <f>'SDDPL '!AQ24+Govind!AQ24+Parag!AQ24</f>
        <v>284294.76</v>
      </c>
      <c r="AR24" s="37">
        <f>'SDDPL '!AR24+Govind!AR24+Parag!AR24</f>
        <v>345621.14</v>
      </c>
      <c r="AS24" s="37">
        <f>'SDDPL '!AS24+Govind!AS24+Parag!AS24</f>
        <v>371379</v>
      </c>
      <c r="AT24" s="37">
        <f>'SDDPL '!AT24+Govind!AT24+Parag!AT24</f>
        <v>364824</v>
      </c>
      <c r="AU24" s="37">
        <f>'SDDPL '!AU24+Govind!AU24+Parag!AU24</f>
        <v>428122</v>
      </c>
      <c r="AV24" s="37">
        <f>'SDDPL '!AV24+Govind!AV24+Parag!AV24</f>
        <v>0</v>
      </c>
      <c r="AW24" s="37">
        <f>'SDDPL '!AW24+Govind!AW24+Parag!AW24</f>
        <v>0</v>
      </c>
      <c r="AX24" s="37">
        <f>'SDDPL '!AX24+Govind!AX24+Parag!AX24</f>
        <v>0</v>
      </c>
      <c r="AY24" s="37">
        <f>'SDDPL '!AY24+Govind!AY24+Parag!AY24</f>
        <v>0</v>
      </c>
      <c r="AZ24" s="37">
        <f>'SDDPL '!AZ24+Govind!AZ24+Parag!AZ24</f>
        <v>0</v>
      </c>
      <c r="BA24" s="37">
        <f>'SDDPL '!BA24+Govind!BA24+Parag!BA24</f>
        <v>0</v>
      </c>
      <c r="BB24" s="73"/>
      <c r="BC24" s="13">
        <f>X24+X26</f>
        <v>1239787.115</v>
      </c>
      <c r="BD24" s="13">
        <f>AK24+AK26</f>
        <v>728612.21</v>
      </c>
      <c r="BE24" s="199" t="s">
        <v>98</v>
      </c>
      <c r="BF24" s="200" t="s">
        <v>84</v>
      </c>
      <c r="BG24" s="201" t="s">
        <v>62</v>
      </c>
      <c r="BH24" s="202" t="s">
        <v>63</v>
      </c>
      <c r="BI24" s="203" t="s">
        <v>62</v>
      </c>
      <c r="BJ24" s="200" t="s">
        <v>63</v>
      </c>
      <c r="BK24" s="203" t="s">
        <v>62</v>
      </c>
      <c r="BL24" s="200" t="s">
        <v>63</v>
      </c>
      <c r="BM24" s="259"/>
      <c r="BN24" s="259"/>
      <c r="BO24" s="259"/>
      <c r="BP24" s="259"/>
      <c r="BQ24" s="259"/>
      <c r="BR24" s="259"/>
      <c r="BS24" s="259"/>
      <c r="BT24" s="259"/>
      <c r="BU24" s="259"/>
      <c r="BV24" s="259"/>
      <c r="BW24" s="51" t="s">
        <v>104</v>
      </c>
      <c r="BX24" s="52">
        <f>BX23/BX22</f>
        <v>0.06277704565</v>
      </c>
      <c r="BY24" s="52">
        <v>0.15</v>
      </c>
      <c r="BZ24" s="52">
        <f>BZ23/BZ22</f>
        <v>0.2365118022</v>
      </c>
      <c r="CA24" s="52">
        <v>0.4</v>
      </c>
      <c r="CB24" s="52">
        <f>CB23/CB22</f>
        <v>0.2519721578</v>
      </c>
      <c r="CC24" s="52">
        <v>0.6</v>
      </c>
      <c r="CD24" s="82"/>
    </row>
    <row r="25" ht="12.0" customHeight="1">
      <c r="A25" s="6"/>
      <c r="B25" s="36" t="s">
        <v>99</v>
      </c>
      <c r="C25" s="74">
        <f t="shared" ref="C25:N25" si="44">C24/C12</f>
        <v>0.3286018005</v>
      </c>
      <c r="D25" s="74">
        <f t="shared" si="44"/>
        <v>0.261539019</v>
      </c>
      <c r="E25" s="74">
        <f t="shared" si="44"/>
        <v>0.1763527854</v>
      </c>
      <c r="F25" s="74">
        <f t="shared" si="44"/>
        <v>0.2707367975</v>
      </c>
      <c r="G25" s="74">
        <f t="shared" si="44"/>
        <v>0.3418619423</v>
      </c>
      <c r="H25" s="74">
        <f t="shared" si="44"/>
        <v>0.3313632467</v>
      </c>
      <c r="I25" s="74">
        <f t="shared" si="44"/>
        <v>0.3836367111</v>
      </c>
      <c r="J25" s="74">
        <f t="shared" si="44"/>
        <v>0.3502369044</v>
      </c>
      <c r="K25" s="74">
        <f t="shared" si="44"/>
        <v>0.3649203848</v>
      </c>
      <c r="L25" s="74">
        <f t="shared" si="44"/>
        <v>0.3688199473</v>
      </c>
      <c r="M25" s="74">
        <f t="shared" si="44"/>
        <v>0.2644327846</v>
      </c>
      <c r="N25" s="74">
        <f t="shared" si="44"/>
        <v>0.1862873129</v>
      </c>
      <c r="O25" s="168"/>
      <c r="P25" s="74">
        <f t="shared" ref="P25:AA25" si="45">P24/P12</f>
        <v>0.1737658844</v>
      </c>
      <c r="Q25" s="74">
        <f t="shared" si="45"/>
        <v>0.2321208177</v>
      </c>
      <c r="R25" s="74">
        <f t="shared" si="45"/>
        <v>0.2593442448</v>
      </c>
      <c r="S25" s="74">
        <f t="shared" si="45"/>
        <v>0.2167660156</v>
      </c>
      <c r="T25" s="74">
        <f t="shared" si="45"/>
        <v>0.1776212951</v>
      </c>
      <c r="U25" s="74">
        <f t="shared" si="45"/>
        <v>0.2070188259</v>
      </c>
      <c r="V25" s="74">
        <f t="shared" si="45"/>
        <v>0.159863586</v>
      </c>
      <c r="W25" s="74">
        <f t="shared" si="45"/>
        <v>0.2491643793</v>
      </c>
      <c r="X25" s="74">
        <f t="shared" si="45"/>
        <v>0.111704037</v>
      </c>
      <c r="Y25" s="74">
        <f t="shared" si="45"/>
        <v>0.1258321056</v>
      </c>
      <c r="Z25" s="74">
        <f t="shared" si="45"/>
        <v>0.08706949715</v>
      </c>
      <c r="AA25" s="74">
        <f t="shared" si="45"/>
        <v>0.075694313</v>
      </c>
      <c r="AB25" s="168"/>
      <c r="AC25" s="74">
        <f t="shared" ref="AC25:AN25" si="46">AC24/AC12</f>
        <v>0.08385191841</v>
      </c>
      <c r="AD25" s="74">
        <f t="shared" si="46"/>
        <v>0.064230787</v>
      </c>
      <c r="AE25" s="74">
        <f t="shared" si="46"/>
        <v>0.09787935947</v>
      </c>
      <c r="AF25" s="74">
        <f t="shared" si="46"/>
        <v>0.1123338782</v>
      </c>
      <c r="AG25" s="74">
        <f t="shared" si="46"/>
        <v>0.09322453604</v>
      </c>
      <c r="AH25" s="74">
        <f t="shared" si="46"/>
        <v>0.09825385676</v>
      </c>
      <c r="AI25" s="74">
        <f t="shared" si="46"/>
        <v>0.09242128713</v>
      </c>
      <c r="AJ25" s="74">
        <f t="shared" si="46"/>
        <v>0.08854661811</v>
      </c>
      <c r="AK25" s="74">
        <f t="shared" si="46"/>
        <v>0.07486762977</v>
      </c>
      <c r="AL25" s="74">
        <f t="shared" si="46"/>
        <v>0.07916931805</v>
      </c>
      <c r="AM25" s="74">
        <f t="shared" si="46"/>
        <v>0.07557564215</v>
      </c>
      <c r="AN25" s="74">
        <f t="shared" si="46"/>
        <v>0.04940476704</v>
      </c>
      <c r="AO25" s="80">
        <f>AVERAGE(AC25:AN25)</f>
        <v>0.08414663317</v>
      </c>
      <c r="AP25" s="74">
        <f t="shared" ref="AP25:BA25" si="47">IFERROR(AP24/AP12,0)</f>
        <v>0.04107459838</v>
      </c>
      <c r="AQ25" s="74">
        <f t="shared" si="47"/>
        <v>0.04752977299</v>
      </c>
      <c r="AR25" s="74">
        <f t="shared" si="47"/>
        <v>0.05281581496</v>
      </c>
      <c r="AS25" s="74">
        <f t="shared" si="47"/>
        <v>0.05541666303</v>
      </c>
      <c r="AT25" s="74">
        <f t="shared" si="47"/>
        <v>0.05233830702</v>
      </c>
      <c r="AU25" s="74">
        <f t="shared" si="47"/>
        <v>0.06299917002</v>
      </c>
      <c r="AV25" s="74">
        <f t="shared" si="47"/>
        <v>0</v>
      </c>
      <c r="AW25" s="74">
        <f t="shared" si="47"/>
        <v>0</v>
      </c>
      <c r="AX25" s="74">
        <f t="shared" si="47"/>
        <v>0</v>
      </c>
      <c r="AY25" s="74">
        <f t="shared" si="47"/>
        <v>0</v>
      </c>
      <c r="AZ25" s="74">
        <f t="shared" si="47"/>
        <v>0</v>
      </c>
      <c r="BA25" s="74">
        <f t="shared" si="47"/>
        <v>0</v>
      </c>
      <c r="BB25" s="168"/>
      <c r="BC25" s="13">
        <f t="shared" ref="BC25:BC26" si="48">BC24/X7</f>
        <v>41326.23717</v>
      </c>
      <c r="BD25" s="13">
        <f t="shared" ref="BD25:BD26" si="49">BD24/AK7</f>
        <v>24287.07367</v>
      </c>
      <c r="BE25" s="46" t="s">
        <v>100</v>
      </c>
      <c r="BF25" s="117">
        <f t="shared" ref="BF25:BF26" si="50">O39</f>
        <v>8347</v>
      </c>
      <c r="BG25" s="117">
        <f>AB38</f>
        <v>9735</v>
      </c>
      <c r="BH25" s="117">
        <f t="shared" ref="BH25:BH26" si="51">AB39</f>
        <v>10676</v>
      </c>
      <c r="BI25" s="117">
        <f>AO38</f>
        <v>12135</v>
      </c>
      <c r="BJ25" s="117">
        <f t="shared" ref="BJ25:BJ26" si="52">AO39</f>
        <v>12232</v>
      </c>
      <c r="BK25" s="117">
        <f>BB38</f>
        <v>13335</v>
      </c>
      <c r="BL25" s="117"/>
      <c r="BM25" s="259"/>
      <c r="BN25" s="259"/>
      <c r="BO25" s="259"/>
      <c r="BP25" s="259"/>
      <c r="BQ25" s="259"/>
      <c r="BR25" s="259"/>
      <c r="BS25" s="259"/>
      <c r="BT25" s="259"/>
      <c r="BU25" s="259"/>
      <c r="BV25" s="259"/>
      <c r="BW25" s="23"/>
      <c r="BX25" s="90"/>
      <c r="BY25" s="83"/>
      <c r="BZ25" s="83"/>
      <c r="CA25" s="11"/>
      <c r="CB25" s="11"/>
      <c r="CC25" s="11"/>
      <c r="CD25" s="11"/>
      <c r="CF25" s="266">
        <f>CF26/BZ22</f>
        <v>0.3512551517</v>
      </c>
    </row>
    <row r="26" ht="12.0" customHeight="1">
      <c r="A26" s="6"/>
      <c r="B26" s="36" t="s">
        <v>170</v>
      </c>
      <c r="C26" s="37">
        <f>'SDDPL '!C26+Govind!C26+Parag!C26</f>
        <v>131841.7496</v>
      </c>
      <c r="D26" s="37">
        <f>'SDDPL '!D26+Govind!D26+Parag!D26</f>
        <v>95431.31808</v>
      </c>
      <c r="E26" s="37">
        <f>'SDDPL '!E26+Govind!E26+Parag!E26</f>
        <v>88846.08137</v>
      </c>
      <c r="F26" s="37">
        <f>'SDDPL '!F26+Govind!F26+Parag!F26</f>
        <v>2852.937136</v>
      </c>
      <c r="G26" s="37">
        <f>'SDDPL '!G26+Govind!G26+Parag!G26</f>
        <v>0</v>
      </c>
      <c r="H26" s="37">
        <f>'SDDPL '!H26+Govind!H26+Parag!H26</f>
        <v>0</v>
      </c>
      <c r="I26" s="37">
        <f>'SDDPL '!I26+Govind!I26+Parag!I26</f>
        <v>0</v>
      </c>
      <c r="J26" s="37">
        <f>'SDDPL '!J26+Govind!J26+Parag!J26</f>
        <v>11650.9919</v>
      </c>
      <c r="K26" s="37">
        <f>'SDDPL '!K26+Govind!K26+Parag!K26</f>
        <v>8086.581</v>
      </c>
      <c r="L26" s="37">
        <f>'SDDPL '!L26+Govind!L26+Parag!L26</f>
        <v>7933.4424</v>
      </c>
      <c r="M26" s="37">
        <f>'SDDPL '!M26+Govind!M26+Parag!M26</f>
        <v>26251.64751</v>
      </c>
      <c r="N26" s="37">
        <f>'SDDPL '!N26+Govind!N26+Parag!N26</f>
        <v>38161.7052</v>
      </c>
      <c r="O26" s="73"/>
      <c r="P26" s="37">
        <f>'SDDPL '!P26+Govind!P26+Parag!P26</f>
        <v>0</v>
      </c>
      <c r="Q26" s="37">
        <f>'SDDPL '!Q26+Govind!Q26+Parag!Q26</f>
        <v>0</v>
      </c>
      <c r="R26" s="37">
        <f>'SDDPL '!R26+Govind!R26+Parag!R26</f>
        <v>0</v>
      </c>
      <c r="S26" s="37">
        <f>'SDDPL '!S26+Govind!S26+Parag!S26</f>
        <v>0</v>
      </c>
      <c r="T26" s="37">
        <f>'SDDPL '!T26+Govind!T26+Parag!T26</f>
        <v>6067</v>
      </c>
      <c r="U26" s="37">
        <f>'SDDPL '!U26+Govind!U26+Parag!U26</f>
        <v>0</v>
      </c>
      <c r="V26" s="37">
        <f>'SDDPL '!V26+Govind!V26+Parag!V26</f>
        <v>0</v>
      </c>
      <c r="W26" s="37">
        <f>'SDDPL '!W26+Govind!W26+Parag!W26</f>
        <v>0</v>
      </c>
      <c r="X26" s="37">
        <f>'SDDPL '!X26+Govind!X26+Parag!X26</f>
        <v>537117.9698</v>
      </c>
      <c r="Y26" s="37">
        <f>'SDDPL '!Y26+Govind!Y26+Parag!Y26</f>
        <v>648300.353</v>
      </c>
      <c r="Z26" s="37">
        <f>'SDDPL '!Z26+Govind!Z26+Parag!Z26</f>
        <v>123124.7246</v>
      </c>
      <c r="AA26" s="37">
        <f>'SDDPL '!AA26+Govind!AA26+Parag!AA26</f>
        <v>509242.1156</v>
      </c>
      <c r="AB26" s="73"/>
      <c r="AC26" s="37">
        <f>'SDDPL '!AC26+Govind!AC26+Parag!AC26</f>
        <v>95483.71704</v>
      </c>
      <c r="AD26" s="37">
        <f>'SDDPL '!AD26+Govind!AD26+Parag!AD26</f>
        <v>0</v>
      </c>
      <c r="AE26" s="37">
        <f>'SDDPL '!AE26+Govind!AE26+Parag!AE26</f>
        <v>219048.7114</v>
      </c>
      <c r="AF26" s="37">
        <f>'SDDPL '!AF26+Govind!AF26+Parag!AF26</f>
        <v>9591.138796</v>
      </c>
      <c r="AG26" s="37">
        <f>'SDDPL '!AG26+Govind!AG26+Parag!AG26</f>
        <v>0</v>
      </c>
      <c r="AH26" s="37">
        <f>'SDDPL '!AH26+Govind!AH26+Parag!AH26</f>
        <v>0</v>
      </c>
      <c r="AI26" s="37">
        <f>'SDDPL '!AI26+Govind!AI26+Parag!AI26</f>
        <v>0</v>
      </c>
      <c r="AJ26" s="37">
        <f>'SDDPL '!AJ26+Govind!AJ26+Parag!AJ26</f>
        <v>133194</v>
      </c>
      <c r="AK26" s="37">
        <f>'SDDPL '!AK26+Govind!AK26+Parag!AK26</f>
        <v>237518</v>
      </c>
      <c r="AL26" s="37">
        <f>'SDDPL '!AL26+Govind!AL26+Parag!AL26</f>
        <v>547480</v>
      </c>
      <c r="AM26" s="37">
        <f>'SDDPL '!AM26+Govind!AM26+Parag!AM26</f>
        <v>202877</v>
      </c>
      <c r="AN26" s="37">
        <f>'SDDPL '!AN26+Govind!AN26+Parag!AN26</f>
        <v>150158</v>
      </c>
      <c r="AO26" s="73">
        <f>AO27*AO12</f>
        <v>1633379.086</v>
      </c>
      <c r="AP26" s="37">
        <f>'SDDPL '!AP26+Govind!AP26+Parag!AP26</f>
        <v>11106</v>
      </c>
      <c r="AQ26" s="37">
        <f>'SDDPL '!AQ26+Govind!AQ26+Parag!AQ26</f>
        <v>0</v>
      </c>
      <c r="AR26" s="37">
        <f>'SDDPL '!AR26+Govind!AR26+Parag!AR26</f>
        <v>20730</v>
      </c>
      <c r="AS26" s="37">
        <f>'SDDPL '!AS26+Govind!AS26+Parag!AS26</f>
        <v>0</v>
      </c>
      <c r="AT26" s="37">
        <f>'SDDPL '!AT26+Govind!AT26+Parag!AT26</f>
        <v>0</v>
      </c>
      <c r="AU26" s="37">
        <f>'SDDPL '!AU26+Govind!AU26+Parag!AU26</f>
        <v>0</v>
      </c>
      <c r="AV26" s="37">
        <f>'SDDPL '!AV26+Govind!AV26+Parag!AV26</f>
        <v>0</v>
      </c>
      <c r="AW26" s="37">
        <f>'SDDPL '!AW26+Govind!AW26+Parag!AW26</f>
        <v>0</v>
      </c>
      <c r="AX26" s="37">
        <f>'SDDPL '!AX26+Govind!AX26+Parag!AX26</f>
        <v>0</v>
      </c>
      <c r="AY26" s="37">
        <f>'SDDPL '!AY26+Govind!AY26+Parag!AY26</f>
        <v>0</v>
      </c>
      <c r="AZ26" s="37">
        <f>'SDDPL '!AZ26+Govind!AZ26+Parag!AZ26</f>
        <v>0</v>
      </c>
      <c r="BA26" s="37">
        <f>'SDDPL '!BA26+Govind!BA26+Parag!BA26</f>
        <v>0</v>
      </c>
      <c r="BB26" s="73"/>
      <c r="BC26" s="13">
        <f t="shared" si="48"/>
        <v>317.8941321</v>
      </c>
      <c r="BD26" s="13">
        <f t="shared" si="49"/>
        <v>195.8634973</v>
      </c>
      <c r="BE26" s="46" t="s">
        <v>102</v>
      </c>
      <c r="BF26" s="117">
        <f t="shared" si="50"/>
        <v>524</v>
      </c>
      <c r="BG26" s="117">
        <f>AB41</f>
        <v>1466</v>
      </c>
      <c r="BH26" s="117">
        <f t="shared" si="51"/>
        <v>2525</v>
      </c>
      <c r="BI26" s="117">
        <f>AO41</f>
        <v>4826</v>
      </c>
      <c r="BJ26" s="117">
        <f t="shared" si="52"/>
        <v>5203</v>
      </c>
      <c r="BK26" s="117">
        <f>BB41</f>
        <v>8006</v>
      </c>
      <c r="BL26" s="117"/>
      <c r="BM26" s="259"/>
      <c r="BN26" s="259"/>
      <c r="BO26" s="259"/>
      <c r="BP26" s="259"/>
      <c r="BQ26" s="259"/>
      <c r="BR26" s="259"/>
      <c r="BS26" s="259"/>
      <c r="BT26" s="259"/>
      <c r="BU26" s="259"/>
      <c r="BV26" s="259"/>
      <c r="BW26" s="4"/>
      <c r="BX26" s="4"/>
      <c r="BY26" s="4"/>
      <c r="BZ26" s="4"/>
      <c r="CA26" s="4">
        <f>BZ23-BX23</f>
        <v>2001</v>
      </c>
      <c r="CB26" s="4"/>
      <c r="CC26" s="4"/>
      <c r="CD26" s="4"/>
      <c r="CF26" s="267">
        <v>3750.0</v>
      </c>
    </row>
    <row r="27" ht="12.0" customHeight="1">
      <c r="A27" s="6"/>
      <c r="B27" s="36" t="s">
        <v>103</v>
      </c>
      <c r="C27" s="74">
        <f t="shared" ref="C27:N27" si="53">C26/C12</f>
        <v>0.02842401034</v>
      </c>
      <c r="D27" s="74">
        <f t="shared" si="53"/>
        <v>0.022936188</v>
      </c>
      <c r="E27" s="74">
        <f t="shared" si="53"/>
        <v>0.01828828216</v>
      </c>
      <c r="F27" s="74">
        <f t="shared" si="53"/>
        <v>0.0005594856979</v>
      </c>
      <c r="G27" s="74">
        <f t="shared" si="53"/>
        <v>0</v>
      </c>
      <c r="H27" s="74">
        <f t="shared" si="53"/>
        <v>0</v>
      </c>
      <c r="I27" s="74">
        <f t="shared" si="53"/>
        <v>0</v>
      </c>
      <c r="J27" s="74">
        <f t="shared" si="53"/>
        <v>0.002283576481</v>
      </c>
      <c r="K27" s="74">
        <f t="shared" si="53"/>
        <v>0.001618511464</v>
      </c>
      <c r="L27" s="74">
        <f t="shared" si="53"/>
        <v>0.001485402532</v>
      </c>
      <c r="M27" s="74">
        <f t="shared" si="53"/>
        <v>0.004763328302</v>
      </c>
      <c r="N27" s="74">
        <f t="shared" si="53"/>
        <v>0.006569805853</v>
      </c>
      <c r="O27" s="168"/>
      <c r="P27" s="74">
        <f t="shared" ref="P27:AA27" si="54">P26/P12</f>
        <v>0</v>
      </c>
      <c r="Q27" s="74">
        <f t="shared" si="54"/>
        <v>0</v>
      </c>
      <c r="R27" s="74">
        <f t="shared" si="54"/>
        <v>0</v>
      </c>
      <c r="S27" s="74">
        <f t="shared" si="54"/>
        <v>0</v>
      </c>
      <c r="T27" s="74">
        <f t="shared" si="54"/>
        <v>0.0009455661374</v>
      </c>
      <c r="U27" s="74">
        <f t="shared" si="54"/>
        <v>0</v>
      </c>
      <c r="V27" s="74">
        <f t="shared" si="54"/>
        <v>0</v>
      </c>
      <c r="W27" s="74">
        <f t="shared" si="54"/>
        <v>0</v>
      </c>
      <c r="X27" s="74">
        <f t="shared" si="54"/>
        <v>0.08538619628</v>
      </c>
      <c r="Y27" s="74">
        <f t="shared" si="54"/>
        <v>0.09433468559</v>
      </c>
      <c r="Z27" s="74">
        <f t="shared" si="54"/>
        <v>0.01741057966</v>
      </c>
      <c r="AA27" s="74">
        <f t="shared" si="54"/>
        <v>0.06727154615</v>
      </c>
      <c r="AB27" s="168"/>
      <c r="AC27" s="74">
        <f t="shared" ref="AC27:AN27" si="55">AC26/AC12</f>
        <v>0.01233188383</v>
      </c>
      <c r="AD27" s="74">
        <f t="shared" si="55"/>
        <v>0</v>
      </c>
      <c r="AE27" s="74">
        <f t="shared" si="55"/>
        <v>0.03114037013</v>
      </c>
      <c r="AF27" s="74">
        <f t="shared" si="55"/>
        <v>0.001385432645</v>
      </c>
      <c r="AG27" s="74">
        <f t="shared" si="55"/>
        <v>0</v>
      </c>
      <c r="AH27" s="74">
        <f t="shared" si="55"/>
        <v>0</v>
      </c>
      <c r="AI27" s="74">
        <f t="shared" si="55"/>
        <v>0</v>
      </c>
      <c r="AJ27" s="74">
        <f t="shared" si="55"/>
        <v>0.01974063552</v>
      </c>
      <c r="AK27" s="74">
        <f t="shared" si="55"/>
        <v>0.03620977264</v>
      </c>
      <c r="AL27" s="74">
        <f t="shared" si="55"/>
        <v>0.08021981401</v>
      </c>
      <c r="AM27" s="74">
        <f t="shared" si="55"/>
        <v>0.03008930902</v>
      </c>
      <c r="AN27" s="74">
        <f t="shared" si="55"/>
        <v>0.02208577817</v>
      </c>
      <c r="AO27" s="80">
        <f>AVERAGE(AC27:AN27)</f>
        <v>0.019433583</v>
      </c>
      <c r="AP27" s="76">
        <f t="shared" ref="AP27:BA27" si="56">IFERROR(AP26/AP12,0)</f>
        <v>0.00164530609</v>
      </c>
      <c r="AQ27" s="76">
        <f t="shared" si="56"/>
        <v>0</v>
      </c>
      <c r="AR27" s="76">
        <f t="shared" si="56"/>
        <v>0.003167838183</v>
      </c>
      <c r="AS27" s="76">
        <f t="shared" si="56"/>
        <v>0</v>
      </c>
      <c r="AT27" s="76">
        <f t="shared" si="56"/>
        <v>0</v>
      </c>
      <c r="AU27" s="76">
        <f t="shared" si="56"/>
        <v>0</v>
      </c>
      <c r="AV27" s="76">
        <f t="shared" si="56"/>
        <v>0</v>
      </c>
      <c r="AW27" s="76">
        <f t="shared" si="56"/>
        <v>0</v>
      </c>
      <c r="AX27" s="76">
        <f t="shared" si="56"/>
        <v>0</v>
      </c>
      <c r="AY27" s="76">
        <f t="shared" si="56"/>
        <v>0</v>
      </c>
      <c r="AZ27" s="76">
        <f t="shared" si="56"/>
        <v>0</v>
      </c>
      <c r="BA27" s="76">
        <f t="shared" si="56"/>
        <v>0</v>
      </c>
      <c r="BB27" s="168"/>
      <c r="BC27" s="259"/>
      <c r="BD27" s="259"/>
      <c r="BE27" s="51" t="s">
        <v>104</v>
      </c>
      <c r="BF27" s="212">
        <f>BF26/BF25</f>
        <v>0.06277704565</v>
      </c>
      <c r="BG27" s="212">
        <v>0.15</v>
      </c>
      <c r="BH27" s="212">
        <f t="shared" ref="BH27:BK27" si="57">BH26/BH25</f>
        <v>0.2365118022</v>
      </c>
      <c r="BI27" s="212">
        <f t="shared" si="57"/>
        <v>0.3976926246</v>
      </c>
      <c r="BJ27" s="212">
        <f t="shared" si="57"/>
        <v>0.4253597122</v>
      </c>
      <c r="BK27" s="212">
        <f t="shared" si="57"/>
        <v>0.6003749531</v>
      </c>
      <c r="BL27" s="213"/>
      <c r="BM27" s="259"/>
      <c r="BN27" s="259"/>
      <c r="BO27" s="259"/>
      <c r="BP27" s="259"/>
      <c r="BQ27" s="259"/>
      <c r="BR27" s="259"/>
      <c r="BS27" s="259"/>
      <c r="BT27" s="259"/>
      <c r="BU27" s="259"/>
      <c r="BV27" s="259"/>
      <c r="BW27" s="4"/>
      <c r="BX27" s="4"/>
      <c r="BY27" s="4"/>
      <c r="BZ27" s="4"/>
      <c r="CA27" s="4"/>
      <c r="CB27" s="4"/>
      <c r="CC27" s="4"/>
      <c r="CD27" s="4"/>
    </row>
    <row r="28" ht="12.0" customHeight="1">
      <c r="A28" s="87" t="s">
        <v>105</v>
      </c>
      <c r="B28" s="61" t="s">
        <v>106</v>
      </c>
      <c r="C28" s="88"/>
      <c r="D28" s="88"/>
      <c r="E28" s="88"/>
      <c r="F28" s="88"/>
      <c r="G28" s="88"/>
      <c r="H28" s="88"/>
      <c r="I28" s="88"/>
      <c r="J28" s="89"/>
      <c r="K28" s="89"/>
      <c r="L28" s="89"/>
      <c r="M28" s="88"/>
      <c r="N28" s="88"/>
      <c r="O28" s="88"/>
      <c r="P28" s="49">
        <v>3421329.8</v>
      </c>
      <c r="Q28" s="49">
        <v>2712528.0</v>
      </c>
      <c r="R28" s="49">
        <v>3215984.75</v>
      </c>
      <c r="S28" s="49">
        <v>3227647.5000000005</v>
      </c>
      <c r="T28" s="49">
        <v>3503682.0000000005</v>
      </c>
      <c r="U28" s="49">
        <v>3532302.5</v>
      </c>
      <c r="V28" s="49">
        <v>3580686.0</v>
      </c>
      <c r="W28" s="49">
        <v>3749720.3</v>
      </c>
      <c r="X28" s="49">
        <v>3825927.0</v>
      </c>
      <c r="Y28" s="49">
        <v>4207913.25</v>
      </c>
      <c r="Z28" s="49">
        <v>4330985.0</v>
      </c>
      <c r="AA28" s="49">
        <v>5132086.5</v>
      </c>
      <c r="AB28" s="49">
        <f t="shared" ref="AB28:AB29" si="60">SUM(P28:AA28)</f>
        <v>44440792.6</v>
      </c>
      <c r="AC28" s="49">
        <v>5628566.149999999</v>
      </c>
      <c r="AD28" s="49">
        <v>5624289.0</v>
      </c>
      <c r="AE28" s="49">
        <v>5506096.000000001</v>
      </c>
      <c r="AF28" s="49">
        <v>5233468.500000001</v>
      </c>
      <c r="AG28" s="49">
        <v>3919959.000000001</v>
      </c>
      <c r="AH28" s="49">
        <v>5582170.500000001</v>
      </c>
      <c r="AI28" s="49">
        <v>5951442.000000001</v>
      </c>
      <c r="AJ28" s="49">
        <v>6350735.175000001</v>
      </c>
      <c r="AK28" s="49">
        <v>6050371.500000001</v>
      </c>
      <c r="AL28" s="49">
        <v>6078972.9</v>
      </c>
      <c r="AM28" s="49">
        <v>5994540.000000001</v>
      </c>
      <c r="AN28" s="49">
        <v>6430897.875</v>
      </c>
      <c r="AO28" s="49">
        <f t="shared" ref="AO28:AO29" si="62">SUM(AC28:AN28)</f>
        <v>68351508.6</v>
      </c>
      <c r="AP28" s="49">
        <f t="shared" ref="AP28:BA28" si="58">AP31*AP11</f>
        <v>5991966.962</v>
      </c>
      <c r="AQ28" s="49">
        <f t="shared" si="58"/>
        <v>5472616.771</v>
      </c>
      <c r="AR28" s="49">
        <f t="shared" si="58"/>
        <v>6241347.435</v>
      </c>
      <c r="AS28" s="49">
        <f t="shared" si="58"/>
        <v>6288517.408</v>
      </c>
      <c r="AT28" s="49">
        <f t="shared" si="58"/>
        <v>6644862.61</v>
      </c>
      <c r="AU28" s="49">
        <f t="shared" si="58"/>
        <v>6614628.018</v>
      </c>
      <c r="AV28" s="49">
        <f t="shared" si="58"/>
        <v>7027701.067</v>
      </c>
      <c r="AW28" s="49">
        <f t="shared" si="58"/>
        <v>7222618.956</v>
      </c>
      <c r="AX28" s="49">
        <f t="shared" si="58"/>
        <v>7180518.662</v>
      </c>
      <c r="AY28" s="49">
        <f t="shared" si="58"/>
        <v>7619452.053</v>
      </c>
      <c r="AZ28" s="49">
        <f t="shared" si="58"/>
        <v>7569065.091</v>
      </c>
      <c r="BA28" s="49">
        <f t="shared" si="58"/>
        <v>8025614.909</v>
      </c>
      <c r="BB28" s="49">
        <f>SUM(AP28:BA28)</f>
        <v>81898909.94</v>
      </c>
      <c r="BC28" s="13">
        <f>SUM(AC12:AE12)</f>
        <v>21529354.88</v>
      </c>
      <c r="BD28" s="13">
        <f>SUM(AF12:AH12)</f>
        <v>21663096.41</v>
      </c>
      <c r="BE28" s="223"/>
      <c r="BF28" s="224"/>
      <c r="BG28" s="225"/>
      <c r="BH28" s="225"/>
      <c r="BI28" s="226"/>
      <c r="BJ28" s="226"/>
      <c r="BK28" s="226"/>
      <c r="BL28" s="226"/>
      <c r="BM28" s="259"/>
      <c r="BN28" s="259"/>
      <c r="BO28" s="259"/>
      <c r="BP28" s="259"/>
      <c r="BQ28" s="259"/>
      <c r="BR28" s="259"/>
      <c r="BS28" s="259"/>
      <c r="BT28" s="259"/>
      <c r="BU28" s="259"/>
      <c r="BV28" s="259"/>
      <c r="BW28" s="4"/>
      <c r="BX28" s="4"/>
      <c r="BY28" s="4"/>
      <c r="BZ28" s="4"/>
      <c r="CA28" s="4"/>
      <c r="CB28" s="4"/>
      <c r="CC28" s="4"/>
      <c r="CD28" s="4"/>
    </row>
    <row r="29" ht="12.0" customHeight="1">
      <c r="A29" s="54"/>
      <c r="B29" s="55" t="s">
        <v>107</v>
      </c>
      <c r="C29" s="110">
        <f t="shared" ref="C29:O29" si="59">C32*C12</f>
        <v>2541921.364</v>
      </c>
      <c r="D29" s="110">
        <f t="shared" si="59"/>
        <v>2349702.7</v>
      </c>
      <c r="E29" s="110">
        <f t="shared" si="59"/>
        <v>2814625.308</v>
      </c>
      <c r="F29" s="110">
        <f t="shared" si="59"/>
        <v>2932834.511</v>
      </c>
      <c r="G29" s="110">
        <f t="shared" si="59"/>
        <v>2939338.962</v>
      </c>
      <c r="H29" s="110">
        <f t="shared" si="59"/>
        <v>3136105.213</v>
      </c>
      <c r="I29" s="110">
        <f t="shared" si="59"/>
        <v>2873171.575</v>
      </c>
      <c r="J29" s="110">
        <f t="shared" si="59"/>
        <v>2799786.209</v>
      </c>
      <c r="K29" s="110">
        <f t="shared" si="59"/>
        <v>2885631.332</v>
      </c>
      <c r="L29" s="110">
        <f t="shared" si="59"/>
        <v>3285482.394</v>
      </c>
      <c r="M29" s="110">
        <f t="shared" si="59"/>
        <v>3600151.787</v>
      </c>
      <c r="N29" s="110">
        <f t="shared" si="59"/>
        <v>4032216.523</v>
      </c>
      <c r="O29" s="110">
        <f t="shared" si="59"/>
        <v>35849436.19</v>
      </c>
      <c r="P29" s="56">
        <f>'SDDPL '!P29+Govind!P29+Parag!P29</f>
        <v>4152431.285</v>
      </c>
      <c r="Q29" s="56">
        <f>'SDDPL '!Q29+Govind!Q29+Parag!Q29</f>
        <v>3494617.61</v>
      </c>
      <c r="R29" s="56">
        <f>'SDDPL '!R29+Govind!R29+Parag!R29</f>
        <v>3571349.82</v>
      </c>
      <c r="S29" s="56">
        <f>'SDDPL '!S29+Govind!S29+Parag!S29</f>
        <v>3641064.587</v>
      </c>
      <c r="T29" s="56">
        <f>'SDDPL '!T29+Govind!T29+Parag!T29</f>
        <v>4176059.999</v>
      </c>
      <c r="U29" s="56">
        <f>'SDDPL '!U29+Govind!U29+Parag!U29</f>
        <v>4011470.212</v>
      </c>
      <c r="V29" s="56">
        <f>'SDDPL '!V29+Govind!V29+Parag!V29</f>
        <v>4122319.89</v>
      </c>
      <c r="W29" s="56">
        <f>'SDDPL '!W29+Govind!W29+Parag!W29</f>
        <v>4511778.615</v>
      </c>
      <c r="X29" s="56">
        <f>'SDDPL '!X29+Govind!X29+Parag!X29</f>
        <v>4808226.242</v>
      </c>
      <c r="Y29" s="56">
        <f>'SDDPL '!Y29+Govind!Y29+Parag!Y29</f>
        <v>5134422.222</v>
      </c>
      <c r="Z29" s="56">
        <f>'SDDPL '!Z29+Govind!Z29+Parag!Z29</f>
        <v>5998127.677</v>
      </c>
      <c r="AA29" s="56">
        <f>'SDDPL '!AA29+Govind!AA29+Parag!AA29</f>
        <v>6356652.603</v>
      </c>
      <c r="AB29" s="110">
        <f t="shared" si="60"/>
        <v>53978520.76</v>
      </c>
      <c r="AC29" s="110">
        <f t="shared" ref="AC29:AN29" si="61">AC32*AC12</f>
        <v>6905362.007</v>
      </c>
      <c r="AD29" s="110">
        <f t="shared" si="61"/>
        <v>6124531.699</v>
      </c>
      <c r="AE29" s="110">
        <f t="shared" si="61"/>
        <v>6135561.489</v>
      </c>
      <c r="AF29" s="110">
        <f t="shared" si="61"/>
        <v>6081761.543</v>
      </c>
      <c r="AG29" s="110">
        <f t="shared" si="61"/>
        <v>6563369.617</v>
      </c>
      <c r="AH29" s="110">
        <f t="shared" si="61"/>
        <v>6505041.26</v>
      </c>
      <c r="AI29" s="110">
        <f t="shared" si="61"/>
        <v>6368837.9</v>
      </c>
      <c r="AJ29" s="110">
        <f t="shared" si="61"/>
        <v>5907283.52</v>
      </c>
      <c r="AK29" s="110">
        <f t="shared" si="61"/>
        <v>5697565.69</v>
      </c>
      <c r="AL29" s="110">
        <f t="shared" si="61"/>
        <v>5599149.18</v>
      </c>
      <c r="AM29" s="110">
        <f t="shared" si="61"/>
        <v>5142555.16</v>
      </c>
      <c r="AN29" s="110">
        <f t="shared" si="61"/>
        <v>6196499.01</v>
      </c>
      <c r="AO29" s="110">
        <f t="shared" si="62"/>
        <v>73227518.07</v>
      </c>
      <c r="AP29" s="110">
        <f t="shared" ref="AP29:BB29" si="63">AP32*AP12</f>
        <v>6372942.64</v>
      </c>
      <c r="AQ29" s="110">
        <f t="shared" si="63"/>
        <v>5616894.94</v>
      </c>
      <c r="AR29" s="110">
        <f t="shared" si="63"/>
        <v>6101291.72</v>
      </c>
      <c r="AS29" s="110">
        <f t="shared" si="63"/>
        <v>6180819.04</v>
      </c>
      <c r="AT29" s="110">
        <f t="shared" si="63"/>
        <v>6399658.64</v>
      </c>
      <c r="AU29" s="110">
        <f t="shared" si="63"/>
        <v>6159450.31</v>
      </c>
      <c r="AV29" s="110">
        <f t="shared" si="63"/>
        <v>0</v>
      </c>
      <c r="AW29" s="110">
        <f t="shared" si="63"/>
        <v>0</v>
      </c>
      <c r="AX29" s="110">
        <f t="shared" si="63"/>
        <v>0</v>
      </c>
      <c r="AY29" s="110">
        <f t="shared" si="63"/>
        <v>0</v>
      </c>
      <c r="AZ29" s="110">
        <f t="shared" si="63"/>
        <v>0</v>
      </c>
      <c r="BA29" s="110">
        <f t="shared" si="63"/>
        <v>0</v>
      </c>
      <c r="BB29" s="110">
        <f t="shared" si="63"/>
        <v>36831057.29</v>
      </c>
      <c r="BC29" s="13">
        <f>SUM(AC29:AE29)</f>
        <v>19165455.19</v>
      </c>
      <c r="BD29" s="13">
        <f>SUM(AF29:AH29)</f>
        <v>19150172.42</v>
      </c>
      <c r="BE29" s="105"/>
      <c r="BF29" s="105"/>
      <c r="BG29" s="105"/>
      <c r="BH29" s="105"/>
      <c r="BI29" s="105"/>
      <c r="BJ29" s="105"/>
      <c r="BK29" s="105"/>
      <c r="BL29" s="105"/>
      <c r="BM29" s="259"/>
      <c r="BN29" s="259"/>
      <c r="BO29" s="259"/>
      <c r="BP29" s="259"/>
      <c r="BQ29" s="259"/>
      <c r="BR29" s="259"/>
      <c r="BS29" s="259"/>
      <c r="BT29" s="259"/>
      <c r="BU29" s="259"/>
      <c r="BV29" s="259"/>
      <c r="BW29" s="41"/>
      <c r="BX29" s="41" t="s">
        <v>55</v>
      </c>
      <c r="BY29" s="41" t="s">
        <v>56</v>
      </c>
      <c r="BZ29" s="41"/>
      <c r="CA29" s="268" t="s">
        <v>57</v>
      </c>
      <c r="CB29" s="268"/>
      <c r="CC29" s="41" t="s">
        <v>58</v>
      </c>
      <c r="CD29" s="41"/>
    </row>
    <row r="30" ht="12.0" customHeight="1">
      <c r="A30" s="54"/>
      <c r="B30" s="91" t="s">
        <v>72</v>
      </c>
      <c r="C30" s="37">
        <f t="shared" ref="C30:BB30" si="64">C29/C7</f>
        <v>81997.46336</v>
      </c>
      <c r="D30" s="37">
        <f t="shared" si="64"/>
        <v>83917.95357</v>
      </c>
      <c r="E30" s="37">
        <f t="shared" si="64"/>
        <v>90794.36479</v>
      </c>
      <c r="F30" s="37">
        <f t="shared" si="64"/>
        <v>97761.15035</v>
      </c>
      <c r="G30" s="37">
        <f t="shared" si="64"/>
        <v>94817.38587</v>
      </c>
      <c r="H30" s="37">
        <f t="shared" si="64"/>
        <v>104536.8404</v>
      </c>
      <c r="I30" s="37">
        <f t="shared" si="64"/>
        <v>92682.95404</v>
      </c>
      <c r="J30" s="37">
        <f t="shared" si="64"/>
        <v>90315.68416</v>
      </c>
      <c r="K30" s="37">
        <f t="shared" si="64"/>
        <v>96187.71106</v>
      </c>
      <c r="L30" s="37">
        <f t="shared" si="64"/>
        <v>105983.303</v>
      </c>
      <c r="M30" s="37">
        <f t="shared" si="64"/>
        <v>120005.0596</v>
      </c>
      <c r="N30" s="37">
        <f t="shared" si="64"/>
        <v>130071.5008</v>
      </c>
      <c r="O30" s="73">
        <f t="shared" si="64"/>
        <v>98217.6334</v>
      </c>
      <c r="P30" s="37">
        <f t="shared" si="64"/>
        <v>133949.3963</v>
      </c>
      <c r="Q30" s="37">
        <f t="shared" si="64"/>
        <v>124807.7718</v>
      </c>
      <c r="R30" s="37">
        <f t="shared" si="64"/>
        <v>115204.8329</v>
      </c>
      <c r="S30" s="37">
        <f t="shared" si="64"/>
        <v>121368.8196</v>
      </c>
      <c r="T30" s="38">
        <f t="shared" si="64"/>
        <v>134711.6129</v>
      </c>
      <c r="U30" s="37">
        <f t="shared" si="64"/>
        <v>133715.6737</v>
      </c>
      <c r="V30" s="37">
        <f t="shared" si="64"/>
        <v>132978.061</v>
      </c>
      <c r="W30" s="37">
        <f t="shared" si="64"/>
        <v>145541.2456</v>
      </c>
      <c r="X30" s="37">
        <f t="shared" si="64"/>
        <v>160274.2081</v>
      </c>
      <c r="Y30" s="37">
        <f t="shared" si="64"/>
        <v>165626.5233</v>
      </c>
      <c r="Z30" s="37">
        <f t="shared" si="64"/>
        <v>199937.5892</v>
      </c>
      <c r="AA30" s="37">
        <f t="shared" si="64"/>
        <v>205053.3098</v>
      </c>
      <c r="AB30" s="73">
        <f t="shared" si="64"/>
        <v>147886.3583</v>
      </c>
      <c r="AC30" s="37">
        <f t="shared" si="64"/>
        <v>222753.6131</v>
      </c>
      <c r="AD30" s="37">
        <f t="shared" si="64"/>
        <v>211190.7482</v>
      </c>
      <c r="AE30" s="37">
        <f t="shared" si="64"/>
        <v>197921.3384</v>
      </c>
      <c r="AF30" s="37">
        <f t="shared" si="64"/>
        <v>202725.3848</v>
      </c>
      <c r="AG30" s="37">
        <f t="shared" si="64"/>
        <v>211721.6005</v>
      </c>
      <c r="AH30" s="37">
        <f t="shared" si="64"/>
        <v>216834.7087</v>
      </c>
      <c r="AI30" s="37">
        <f t="shared" si="64"/>
        <v>205446.3839</v>
      </c>
      <c r="AJ30" s="37">
        <f t="shared" si="64"/>
        <v>190557.5329</v>
      </c>
      <c r="AK30" s="37">
        <f t="shared" si="64"/>
        <v>189918.8563</v>
      </c>
      <c r="AL30" s="37">
        <f t="shared" si="64"/>
        <v>180617.7155</v>
      </c>
      <c r="AM30" s="37">
        <f t="shared" si="64"/>
        <v>171418.5053</v>
      </c>
      <c r="AN30" s="37">
        <f t="shared" si="64"/>
        <v>199887.0648</v>
      </c>
      <c r="AO30" s="73">
        <f t="shared" si="64"/>
        <v>200075.186</v>
      </c>
      <c r="AP30" s="37">
        <f t="shared" si="64"/>
        <v>205578.7948</v>
      </c>
      <c r="AQ30" s="37">
        <f t="shared" si="64"/>
        <v>200603.3907</v>
      </c>
      <c r="AR30" s="37">
        <f t="shared" si="64"/>
        <v>196815.8619</v>
      </c>
      <c r="AS30" s="37">
        <f t="shared" si="64"/>
        <v>206027.3013</v>
      </c>
      <c r="AT30" s="37">
        <f t="shared" si="64"/>
        <v>206440.6013</v>
      </c>
      <c r="AU30" s="37">
        <f t="shared" si="64"/>
        <v>205315.0103</v>
      </c>
      <c r="AV30" s="37">
        <f t="shared" si="64"/>
        <v>0</v>
      </c>
      <c r="AW30" s="37">
        <f t="shared" si="64"/>
        <v>0</v>
      </c>
      <c r="AX30" s="37">
        <f t="shared" si="64"/>
        <v>0</v>
      </c>
      <c r="AY30" s="37">
        <f t="shared" si="64"/>
        <v>0</v>
      </c>
      <c r="AZ30" s="37">
        <f t="shared" si="64"/>
        <v>0</v>
      </c>
      <c r="BA30" s="37">
        <f t="shared" si="64"/>
        <v>0</v>
      </c>
      <c r="BB30" s="73">
        <f t="shared" si="64"/>
        <v>203486.5044</v>
      </c>
      <c r="BC30" s="259">
        <f t="shared" ref="BC30:BD30" si="65">BC29/BC28</f>
        <v>0.8902010906</v>
      </c>
      <c r="BD30" s="259">
        <f t="shared" si="65"/>
        <v>0.8839997781</v>
      </c>
      <c r="BE30" s="105"/>
      <c r="BF30" s="105"/>
      <c r="BG30" s="105"/>
      <c r="BH30" s="105"/>
      <c r="BI30" s="105"/>
      <c r="BJ30" s="105"/>
      <c r="BK30" s="105"/>
      <c r="BL30" s="105"/>
      <c r="BM30" s="259"/>
      <c r="BN30" s="259"/>
      <c r="BO30" s="259"/>
      <c r="BP30" s="259"/>
      <c r="BQ30" s="259"/>
      <c r="BR30" s="259"/>
      <c r="BS30" s="259"/>
      <c r="BT30" s="259"/>
      <c r="BU30" s="259"/>
      <c r="BV30" s="259"/>
      <c r="BW30" s="42" t="s">
        <v>111</v>
      </c>
      <c r="BX30" s="43" t="s">
        <v>84</v>
      </c>
      <c r="BY30" s="94" t="s">
        <v>62</v>
      </c>
      <c r="BZ30" s="29" t="s">
        <v>63</v>
      </c>
      <c r="CA30" s="95" t="s">
        <v>62</v>
      </c>
      <c r="CB30" s="43" t="s">
        <v>63</v>
      </c>
      <c r="CC30" s="95" t="s">
        <v>62</v>
      </c>
      <c r="CD30" s="43" t="s">
        <v>63</v>
      </c>
    </row>
    <row r="31" ht="12.0" customHeight="1">
      <c r="A31" s="54"/>
      <c r="B31" s="61" t="s">
        <v>108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88"/>
      <c r="P31" s="88">
        <f t="shared" ref="P31:AB31" si="66">P28/P11</f>
        <v>0.5732973737</v>
      </c>
      <c r="Q31" s="88">
        <f t="shared" si="66"/>
        <v>0.5301633961</v>
      </c>
      <c r="R31" s="88">
        <f t="shared" si="66"/>
        <v>0.5140168143</v>
      </c>
      <c r="S31" s="88">
        <f t="shared" si="66"/>
        <v>0.5528260925</v>
      </c>
      <c r="T31" s="88">
        <f t="shared" si="66"/>
        <v>0.56</v>
      </c>
      <c r="U31" s="88">
        <f t="shared" si="66"/>
        <v>0.5833936166</v>
      </c>
      <c r="V31" s="88">
        <f t="shared" si="66"/>
        <v>0.6</v>
      </c>
      <c r="W31" s="88">
        <f t="shared" si="66"/>
        <v>0.6183509412</v>
      </c>
      <c r="X31" s="88">
        <f t="shared" si="66"/>
        <v>0.63</v>
      </c>
      <c r="Y31" s="88">
        <f t="shared" si="66"/>
        <v>0.6205075866</v>
      </c>
      <c r="Z31" s="88">
        <f t="shared" si="66"/>
        <v>0.6316611974</v>
      </c>
      <c r="AA31" s="88">
        <f t="shared" si="66"/>
        <v>0.6945863241</v>
      </c>
      <c r="AB31" s="88">
        <f t="shared" si="66"/>
        <v>0.5955459692</v>
      </c>
      <c r="AC31" s="88">
        <v>0.83</v>
      </c>
      <c r="AD31" s="88">
        <v>0.88</v>
      </c>
      <c r="AE31" s="88">
        <v>0.8</v>
      </c>
      <c r="AF31" s="88">
        <v>0.78</v>
      </c>
      <c r="AG31" s="88">
        <v>0.87</v>
      </c>
      <c r="AH31" s="88">
        <v>0.8200000000000001</v>
      </c>
      <c r="AI31" s="88">
        <v>0.84</v>
      </c>
      <c r="AJ31" s="88">
        <v>0.89</v>
      </c>
      <c r="AK31" s="88">
        <v>0.87</v>
      </c>
      <c r="AL31" s="88">
        <v>0.84</v>
      </c>
      <c r="AM31" s="88">
        <v>0.85</v>
      </c>
      <c r="AN31" s="88">
        <v>0.89</v>
      </c>
      <c r="AO31" s="88">
        <f t="shared" ref="AO31:AO32" si="71">AO28/AO11</f>
        <v>0.8450917216</v>
      </c>
      <c r="AP31" s="88">
        <f t="shared" ref="AP31:BA31" si="67">AO31+0.8%</f>
        <v>0.8530917216</v>
      </c>
      <c r="AQ31" s="88">
        <f t="shared" si="67"/>
        <v>0.8610917216</v>
      </c>
      <c r="AR31" s="88">
        <f t="shared" si="67"/>
        <v>0.8690917216</v>
      </c>
      <c r="AS31" s="88">
        <f t="shared" si="67"/>
        <v>0.8770917216</v>
      </c>
      <c r="AT31" s="88">
        <f t="shared" si="67"/>
        <v>0.8850917216</v>
      </c>
      <c r="AU31" s="88">
        <f t="shared" si="67"/>
        <v>0.8930917216</v>
      </c>
      <c r="AV31" s="88">
        <f t="shared" si="67"/>
        <v>0.9010917216</v>
      </c>
      <c r="AW31" s="88">
        <f t="shared" si="67"/>
        <v>0.9090917216</v>
      </c>
      <c r="AX31" s="88">
        <f t="shared" si="67"/>
        <v>0.9170917216</v>
      </c>
      <c r="AY31" s="88">
        <f t="shared" si="67"/>
        <v>0.9250917216</v>
      </c>
      <c r="AZ31" s="88">
        <f t="shared" si="67"/>
        <v>0.9330917216</v>
      </c>
      <c r="BA31" s="88">
        <f t="shared" si="67"/>
        <v>0.9410917216</v>
      </c>
      <c r="BB31" s="88">
        <f>BB28/BB11</f>
        <v>0.8990563742</v>
      </c>
      <c r="BC31" s="259"/>
      <c r="BD31" s="259"/>
      <c r="BM31" s="259"/>
      <c r="BN31" s="259"/>
      <c r="BO31" s="259"/>
      <c r="BP31" s="259"/>
      <c r="BQ31" s="259"/>
      <c r="BR31" s="259"/>
      <c r="BS31" s="259"/>
      <c r="BT31" s="259"/>
      <c r="BU31" s="259"/>
      <c r="BV31" s="259"/>
      <c r="BW31" s="46" t="s">
        <v>113</v>
      </c>
      <c r="BX31" s="41">
        <f>N39</f>
        <v>8347</v>
      </c>
      <c r="BY31" s="41">
        <f>AA38</f>
        <v>9735</v>
      </c>
      <c r="BZ31" s="41">
        <f>AA39</f>
        <v>10676</v>
      </c>
      <c r="CA31" s="41">
        <f>CA22</f>
        <v>12250</v>
      </c>
      <c r="CB31" s="41"/>
      <c r="CC31" s="41">
        <f>CC22</f>
        <v>14125</v>
      </c>
      <c r="CD31" s="41"/>
    </row>
    <row r="32" ht="12.0" customHeight="1">
      <c r="A32" s="67"/>
      <c r="B32" s="68" t="s">
        <v>109</v>
      </c>
      <c r="C32" s="53">
        <f t="shared" ref="C32:O32" si="68">C4</f>
        <v>0.5480175994</v>
      </c>
      <c r="D32" s="53">
        <f t="shared" si="68"/>
        <v>0.5647330872</v>
      </c>
      <c r="E32" s="53">
        <f t="shared" si="68"/>
        <v>0.5793689607</v>
      </c>
      <c r="F32" s="53">
        <f t="shared" si="68"/>
        <v>0.5751542656</v>
      </c>
      <c r="G32" s="53">
        <f t="shared" si="68"/>
        <v>0.5342608485</v>
      </c>
      <c r="H32" s="53">
        <f t="shared" si="68"/>
        <v>0.5797961235</v>
      </c>
      <c r="I32" s="53">
        <f t="shared" si="68"/>
        <v>0.5417278897</v>
      </c>
      <c r="J32" s="53">
        <f t="shared" si="68"/>
        <v>0.5487537879</v>
      </c>
      <c r="K32" s="53">
        <f t="shared" si="68"/>
        <v>0.5775527868</v>
      </c>
      <c r="L32" s="53">
        <f t="shared" si="68"/>
        <v>0.6151508541</v>
      </c>
      <c r="M32" s="53">
        <f t="shared" si="68"/>
        <v>0.6532429972</v>
      </c>
      <c r="N32" s="53">
        <f t="shared" si="68"/>
        <v>0.6941744238</v>
      </c>
      <c r="O32" s="53">
        <f t="shared" si="68"/>
        <v>0.5807458541</v>
      </c>
      <c r="P32" s="53">
        <f t="shared" ref="P32:AB32" si="69">P29/P12</f>
        <v>0.7109210751</v>
      </c>
      <c r="Q32" s="53">
        <f t="shared" si="69"/>
        <v>0.6786866511</v>
      </c>
      <c r="R32" s="53">
        <f t="shared" si="69"/>
        <v>0.599686397</v>
      </c>
      <c r="S32" s="53">
        <f t="shared" si="69"/>
        <v>0.6014264454</v>
      </c>
      <c r="T32" s="53">
        <f t="shared" si="69"/>
        <v>0.6508555996</v>
      </c>
      <c r="U32" s="53">
        <f t="shared" si="69"/>
        <v>0.6518487827</v>
      </c>
      <c r="V32" s="53">
        <f t="shared" si="69"/>
        <v>0.6843841461</v>
      </c>
      <c r="W32" s="53">
        <f t="shared" si="69"/>
        <v>0.750829675</v>
      </c>
      <c r="X32" s="53">
        <f t="shared" si="69"/>
        <v>0.7643686727</v>
      </c>
      <c r="Y32" s="53">
        <f t="shared" si="69"/>
        <v>0.7471137472</v>
      </c>
      <c r="Z32" s="53">
        <f t="shared" si="69"/>
        <v>0.8481714783</v>
      </c>
      <c r="AA32" s="53">
        <f t="shared" si="69"/>
        <v>0.8397220807</v>
      </c>
      <c r="AB32" s="53">
        <f t="shared" si="69"/>
        <v>0.7158318466</v>
      </c>
      <c r="AC32" s="53">
        <f t="shared" ref="AC32:AN32" si="70">AC4</f>
        <v>0.8918392024</v>
      </c>
      <c r="AD32" s="53">
        <f t="shared" si="70"/>
        <v>0.907030859</v>
      </c>
      <c r="AE32" s="53">
        <f t="shared" si="70"/>
        <v>0.8722427743</v>
      </c>
      <c r="AF32" s="53">
        <f t="shared" si="70"/>
        <v>0.8785057915</v>
      </c>
      <c r="AG32" s="53">
        <f t="shared" si="70"/>
        <v>0.8904969349</v>
      </c>
      <c r="AH32" s="53">
        <f t="shared" si="70"/>
        <v>0.882662836</v>
      </c>
      <c r="AI32" s="53">
        <f t="shared" si="70"/>
        <v>0.8865241676</v>
      </c>
      <c r="AJ32" s="53">
        <f t="shared" si="70"/>
        <v>0.8755163963</v>
      </c>
      <c r="AK32" s="53">
        <f t="shared" si="70"/>
        <v>0.8685975725</v>
      </c>
      <c r="AL32" s="53">
        <f t="shared" si="70"/>
        <v>0.8204184735</v>
      </c>
      <c r="AM32" s="53">
        <f t="shared" si="70"/>
        <v>0.7627081009</v>
      </c>
      <c r="AN32" s="53">
        <f t="shared" si="70"/>
        <v>0.9114033388</v>
      </c>
      <c r="AO32" s="53">
        <f t="shared" si="71"/>
        <v>0.8712448093</v>
      </c>
      <c r="AP32" s="53">
        <f t="shared" ref="AP32:BB32" si="72">AP4</f>
        <v>0.9441240171</v>
      </c>
      <c r="AQ32" s="53">
        <f t="shared" si="72"/>
        <v>0.9390596625</v>
      </c>
      <c r="AR32" s="53">
        <f t="shared" si="72"/>
        <v>0.9323639592</v>
      </c>
      <c r="AS32" s="53">
        <f t="shared" si="72"/>
        <v>0.9222933068</v>
      </c>
      <c r="AT32" s="53">
        <f t="shared" si="72"/>
        <v>0.9181065355</v>
      </c>
      <c r="AU32" s="53">
        <f t="shared" si="72"/>
        <v>0.9063777552</v>
      </c>
      <c r="AV32" s="53">
        <f t="shared" si="72"/>
        <v>0</v>
      </c>
      <c r="AW32" s="53">
        <f t="shared" si="72"/>
        <v>0</v>
      </c>
      <c r="AX32" s="53">
        <f t="shared" si="72"/>
        <v>0</v>
      </c>
      <c r="AY32" s="53">
        <f t="shared" si="72"/>
        <v>0</v>
      </c>
      <c r="AZ32" s="53">
        <f t="shared" si="72"/>
        <v>0</v>
      </c>
      <c r="BA32" s="53">
        <f t="shared" si="72"/>
        <v>0</v>
      </c>
      <c r="BB32" s="53">
        <f t="shared" si="72"/>
        <v>0.9267269387</v>
      </c>
      <c r="BC32" s="13"/>
      <c r="BD32" s="259"/>
      <c r="BE32" s="117"/>
      <c r="BF32" s="193" t="s">
        <v>55</v>
      </c>
      <c r="BG32" s="193" t="s">
        <v>56</v>
      </c>
      <c r="BH32" s="193"/>
      <c r="BI32" s="193" t="s">
        <v>57</v>
      </c>
      <c r="BJ32" s="193"/>
      <c r="BK32" s="193" t="s">
        <v>58</v>
      </c>
      <c r="BL32" s="193"/>
      <c r="BM32" s="259"/>
      <c r="BN32" s="259"/>
      <c r="BO32" s="259"/>
      <c r="BP32" s="259"/>
      <c r="BQ32" s="259"/>
      <c r="BR32" s="259"/>
      <c r="BS32" s="259"/>
      <c r="BT32" s="259"/>
      <c r="BU32" s="259"/>
      <c r="BV32" s="259"/>
      <c r="BW32" s="97" t="s">
        <v>116</v>
      </c>
      <c r="BX32" s="41">
        <f t="shared" ref="BX32:BX33" si="73">N44</f>
        <v>267</v>
      </c>
      <c r="BY32" s="98">
        <v>280.0</v>
      </c>
      <c r="BZ32" s="41">
        <f t="shared" ref="BZ32:BZ33" si="74">AA44</f>
        <v>462</v>
      </c>
      <c r="CA32" s="98">
        <v>380.0</v>
      </c>
      <c r="CB32" s="98"/>
      <c r="CC32" s="98">
        <v>445.0</v>
      </c>
      <c r="CD32" s="98"/>
    </row>
    <row r="33" ht="12.0" customHeight="1">
      <c r="A33" s="6"/>
      <c r="B33" s="36" t="s">
        <v>110</v>
      </c>
      <c r="C33" s="37">
        <f>'SDDPL '!C33+Govind!C33+Parag!C33</f>
        <v>0</v>
      </c>
      <c r="D33" s="37">
        <f>'SDDPL '!D33+Govind!D33+Parag!D33</f>
        <v>0</v>
      </c>
      <c r="E33" s="37">
        <f>'SDDPL '!E33+Govind!E33+Parag!E33</f>
        <v>0</v>
      </c>
      <c r="F33" s="37">
        <f>'SDDPL '!F33+Govind!F33+Parag!F33</f>
        <v>0</v>
      </c>
      <c r="G33" s="37">
        <f>'SDDPL '!G33+Govind!G33+Parag!G33</f>
        <v>0</v>
      </c>
      <c r="H33" s="37">
        <f>'SDDPL '!H33+Govind!H33+Parag!H33</f>
        <v>0</v>
      </c>
      <c r="I33" s="37">
        <f>'SDDPL '!I33+Govind!I33+Parag!I33</f>
        <v>0</v>
      </c>
      <c r="J33" s="37">
        <f>'SDDPL '!J33+Govind!J33+Parag!J33</f>
        <v>0</v>
      </c>
      <c r="K33" s="37">
        <f>'SDDPL '!K33+Govind!K33+Parag!K33</f>
        <v>0</v>
      </c>
      <c r="L33" s="37">
        <f>'SDDPL '!L33+Govind!L33+Parag!L33</f>
        <v>0</v>
      </c>
      <c r="M33" s="37">
        <f>'SDDPL '!M33+Govind!M33+Parag!M33</f>
        <v>0</v>
      </c>
      <c r="N33" s="37">
        <f>'SDDPL '!N33+Govind!N33+Parag!N33</f>
        <v>0</v>
      </c>
      <c r="O33" s="73"/>
      <c r="P33" s="37">
        <f>'SDDPL '!P33+Govind!P33+Parag!P33</f>
        <v>0</v>
      </c>
      <c r="Q33" s="37">
        <f>'SDDPL '!Q33+Govind!Q33+Parag!Q33</f>
        <v>0</v>
      </c>
      <c r="R33" s="37">
        <f>'SDDPL '!R33+Govind!R33+Parag!R33</f>
        <v>0</v>
      </c>
      <c r="S33" s="37">
        <f>'SDDPL '!S33+Govind!S33+Parag!S33</f>
        <v>0</v>
      </c>
      <c r="T33" s="37">
        <f>'SDDPL '!T33+Govind!T33+Parag!T33</f>
        <v>0</v>
      </c>
      <c r="U33" s="37">
        <f>'SDDPL '!U33+Govind!U33+Parag!U33</f>
        <v>0</v>
      </c>
      <c r="V33" s="37">
        <f>'SDDPL '!V33+Govind!V33+Parag!V33</f>
        <v>0</v>
      </c>
      <c r="W33" s="37">
        <f>'SDDPL '!W33+Govind!W33+Parag!W33</f>
        <v>133345</v>
      </c>
      <c r="X33" s="37">
        <f>'SDDPL '!X33+Govind!X33+Parag!X33</f>
        <v>266930.7</v>
      </c>
      <c r="Y33" s="37">
        <f>'SDDPL '!Y33+Govind!Y33+Parag!Y33</f>
        <v>364912</v>
      </c>
      <c r="Z33" s="37">
        <f>'SDDPL '!Z33+Govind!Z33+Parag!Z33</f>
        <v>348562</v>
      </c>
      <c r="AA33" s="37">
        <f>'SDDPL '!AA33+Govind!AA33+Parag!AA33</f>
        <v>329508.6</v>
      </c>
      <c r="AB33" s="73"/>
      <c r="AC33" s="37">
        <f>'SDDPL '!AC33+Govind!AC33+Parag!AC33</f>
        <v>272546</v>
      </c>
      <c r="AD33" s="37">
        <f>'SDDPL '!AD33+Govind!AD33+Parag!AD33</f>
        <v>242191</v>
      </c>
      <c r="AE33" s="37">
        <f>'SDDPL '!AE33+Govind!AE33+Parag!AE33</f>
        <v>279188</v>
      </c>
      <c r="AF33" s="37">
        <f>'SDDPL '!AF33+Govind!AF33+Parag!AF33</f>
        <v>312373</v>
      </c>
      <c r="AG33" s="37">
        <f>'SDDPL '!AG33+Govind!AG33+Parag!AG33</f>
        <v>315397</v>
      </c>
      <c r="AH33" s="37">
        <f>'SDDPL '!AH33+Govind!AH33+Parag!AH33</f>
        <v>473659.46</v>
      </c>
      <c r="AI33" s="37">
        <f>'SDDPL '!AI33+Govind!AI33+Parag!AI33</f>
        <v>419253.56</v>
      </c>
      <c r="AJ33" s="37">
        <f>'SDDPL '!AJ33+Govind!AJ33+Parag!AJ33</f>
        <v>346497.67</v>
      </c>
      <c r="AK33" s="37">
        <f>'SDDPL '!AK33+Govind!AK33+Parag!AK33</f>
        <v>342573.21</v>
      </c>
      <c r="AL33" s="37">
        <f>'SDDPL '!AL33+Govind!AL33+Parag!AL33</f>
        <v>405975.63</v>
      </c>
      <c r="AM33" s="37">
        <f>'SDDPL '!AM33+Govind!AM33+Parag!AM33</f>
        <v>404415.35</v>
      </c>
      <c r="AN33" s="37">
        <f>'SDDPL '!AN33+Govind!AN33+Parag!AN33</f>
        <v>335086.84</v>
      </c>
      <c r="AO33" s="73"/>
      <c r="AP33" s="37">
        <f>'SDDPL '!AP33+Govind!AP33+Parag!AP33</f>
        <v>282730.13</v>
      </c>
      <c r="AQ33" s="37">
        <f>'SDDPL '!AQ33+Govind!AQ33+Parag!AQ33</f>
        <v>231357.76</v>
      </c>
      <c r="AR33" s="37">
        <f>'SDDPL '!AR33+Govind!AR33+Parag!AR33</f>
        <v>268107.14</v>
      </c>
      <c r="AS33" s="37">
        <f>'SDDPL '!AS33+Govind!AS33+Parag!AS33</f>
        <v>289350.34</v>
      </c>
      <c r="AT33" s="37">
        <f>'SDDPL '!AT33+Govind!AT33+Parag!AT33</f>
        <v>1172064.13</v>
      </c>
      <c r="AU33" s="37">
        <f>'SDDPL '!AU33+Govind!AU33+Parag!AU33</f>
        <v>346945.52</v>
      </c>
      <c r="AV33" s="37">
        <f>'SDDPL '!AV33+Govind!AV33+Parag!AV33</f>
        <v>0</v>
      </c>
      <c r="AW33" s="37">
        <f>'SDDPL '!AW33+Govind!AW33+Parag!AW33</f>
        <v>0</v>
      </c>
      <c r="AX33" s="37">
        <f>'SDDPL '!AX33+Govind!AX33+Parag!AX33</f>
        <v>0</v>
      </c>
      <c r="AY33" s="37">
        <f>'SDDPL '!AY33+Govind!AY33+Parag!AY33</f>
        <v>0</v>
      </c>
      <c r="AZ33" s="37">
        <f>'SDDPL '!AZ33+Govind!AZ33+Parag!AZ33</f>
        <v>0</v>
      </c>
      <c r="BA33" s="37">
        <f>'SDDPL '!BA33+Govind!BA33+Parag!BA33</f>
        <v>0</v>
      </c>
      <c r="BB33" s="73"/>
      <c r="BC33" s="259"/>
      <c r="BD33" s="259"/>
      <c r="BE33" s="199" t="s">
        <v>162</v>
      </c>
      <c r="BF33" s="200" t="s">
        <v>84</v>
      </c>
      <c r="BG33" s="201" t="s">
        <v>62</v>
      </c>
      <c r="BH33" s="202" t="s">
        <v>63</v>
      </c>
      <c r="BI33" s="203" t="s">
        <v>62</v>
      </c>
      <c r="BJ33" s="200" t="s">
        <v>63</v>
      </c>
      <c r="BK33" s="203" t="s">
        <v>62</v>
      </c>
      <c r="BL33" s="200" t="s">
        <v>63</v>
      </c>
      <c r="BM33" s="259"/>
      <c r="BN33" s="259"/>
      <c r="BO33" s="259"/>
      <c r="BP33" s="259"/>
      <c r="BQ33" s="259"/>
      <c r="BR33" s="259"/>
      <c r="BS33" s="259"/>
      <c r="BT33" s="259"/>
      <c r="BU33" s="259"/>
      <c r="BV33" s="259"/>
      <c r="BW33" s="46" t="s">
        <v>115</v>
      </c>
      <c r="BX33" s="96">
        <f t="shared" si="73"/>
        <v>203</v>
      </c>
      <c r="BY33" s="96">
        <f>AA46</f>
        <v>368</v>
      </c>
      <c r="BZ33" s="96">
        <f t="shared" si="74"/>
        <v>394</v>
      </c>
      <c r="CA33" s="96">
        <v>563.0</v>
      </c>
      <c r="CB33" s="96"/>
      <c r="CC33" s="96">
        <v>723.0</v>
      </c>
      <c r="CD33" s="41"/>
    </row>
    <row r="34" ht="12.0" customHeight="1">
      <c r="A34" s="6"/>
      <c r="B34" s="91" t="s">
        <v>112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73"/>
      <c r="P34" s="37"/>
      <c r="Q34" s="37"/>
      <c r="R34" s="37"/>
      <c r="S34" s="37"/>
      <c r="T34" s="38"/>
      <c r="U34" s="37"/>
      <c r="V34" s="37"/>
      <c r="W34" s="37">
        <f t="shared" ref="W34:AA34" si="75">W33/W8/W7</f>
        <v>33.08808933</v>
      </c>
      <c r="X34" s="37">
        <f t="shared" si="75"/>
        <v>68.44376923</v>
      </c>
      <c r="Y34" s="37">
        <f t="shared" si="75"/>
        <v>90.54888337</v>
      </c>
      <c r="Z34" s="37">
        <f t="shared" si="75"/>
        <v>89.37487179</v>
      </c>
      <c r="AA34" s="37">
        <f t="shared" si="75"/>
        <v>81.7639206</v>
      </c>
      <c r="AB34" s="73"/>
      <c r="AC34" s="37">
        <f t="shared" ref="AC34:AM34" si="76">AC33/AC8/AC7</f>
        <v>67.6292804</v>
      </c>
      <c r="AD34" s="37">
        <f t="shared" si="76"/>
        <v>64.24164456</v>
      </c>
      <c r="AE34" s="37">
        <f t="shared" si="76"/>
        <v>69.27741935</v>
      </c>
      <c r="AF34" s="37">
        <f t="shared" si="76"/>
        <v>80.09564103</v>
      </c>
      <c r="AG34" s="37">
        <f t="shared" si="76"/>
        <v>78.26228288</v>
      </c>
      <c r="AH34" s="37">
        <f t="shared" si="76"/>
        <v>121.4511436</v>
      </c>
      <c r="AI34" s="37">
        <f t="shared" si="76"/>
        <v>104.0331414</v>
      </c>
      <c r="AJ34" s="37">
        <f t="shared" si="76"/>
        <v>90.13987253</v>
      </c>
      <c r="AK34" s="37">
        <f t="shared" si="76"/>
        <v>92.08957258</v>
      </c>
      <c r="AL34" s="37">
        <f t="shared" si="76"/>
        <v>105.612807</v>
      </c>
      <c r="AM34" s="37">
        <f t="shared" si="76"/>
        <v>108.7138038</v>
      </c>
      <c r="AN34" s="37">
        <f>AN33/AN8</f>
        <v>2702.313226</v>
      </c>
      <c r="AO34" s="73"/>
      <c r="AP34" s="37">
        <f t="shared" ref="AP34:BA34" si="77">AP33/AP8</f>
        <v>2298.618943</v>
      </c>
      <c r="AQ34" s="37">
        <f t="shared" si="77"/>
        <v>1880.957398</v>
      </c>
      <c r="AR34" s="37">
        <f t="shared" si="77"/>
        <v>2197.599508</v>
      </c>
      <c r="AS34" s="37">
        <f t="shared" si="77"/>
        <v>2391.325124</v>
      </c>
      <c r="AT34" s="37">
        <f t="shared" si="77"/>
        <v>9607.083033</v>
      </c>
      <c r="AU34" s="37">
        <f t="shared" si="77"/>
        <v>2843.815738</v>
      </c>
      <c r="AV34" s="37">
        <f t="shared" si="77"/>
        <v>0</v>
      </c>
      <c r="AW34" s="37">
        <f t="shared" si="77"/>
        <v>0</v>
      </c>
      <c r="AX34" s="37">
        <f t="shared" si="77"/>
        <v>0</v>
      </c>
      <c r="AY34" s="37">
        <f t="shared" si="77"/>
        <v>0</v>
      </c>
      <c r="AZ34" s="37">
        <f t="shared" si="77"/>
        <v>0</v>
      </c>
      <c r="BA34" s="37">
        <f t="shared" si="77"/>
        <v>0</v>
      </c>
      <c r="BB34" s="73"/>
      <c r="BC34" s="259"/>
      <c r="BD34" s="259"/>
      <c r="BE34" s="46" t="s">
        <v>113</v>
      </c>
      <c r="BF34" s="117">
        <f t="shared" ref="BF34:BK34" si="78">BF25</f>
        <v>8347</v>
      </c>
      <c r="BG34" s="117">
        <f t="shared" si="78"/>
        <v>9735</v>
      </c>
      <c r="BH34" s="117">
        <f t="shared" si="78"/>
        <v>10676</v>
      </c>
      <c r="BI34" s="117">
        <f t="shared" si="78"/>
        <v>12135</v>
      </c>
      <c r="BJ34" s="117">
        <f t="shared" si="78"/>
        <v>12232</v>
      </c>
      <c r="BK34" s="117">
        <f t="shared" si="78"/>
        <v>13335</v>
      </c>
      <c r="BL34" s="117"/>
      <c r="BM34" s="259"/>
      <c r="BN34" s="259"/>
      <c r="BO34" s="259"/>
      <c r="BP34" s="259"/>
      <c r="BQ34" s="259"/>
      <c r="BR34" s="259"/>
      <c r="BS34" s="259"/>
      <c r="BT34" s="259"/>
      <c r="BU34" s="259"/>
      <c r="BV34" s="259"/>
      <c r="BW34" s="51" t="s">
        <v>119</v>
      </c>
      <c r="BX34" s="53">
        <f t="shared" ref="BX34:CA34" si="79">BX33/BX32</f>
        <v>0.7602996255</v>
      </c>
      <c r="BY34" s="53">
        <f t="shared" si="79"/>
        <v>1.314285714</v>
      </c>
      <c r="BZ34" s="53">
        <f t="shared" si="79"/>
        <v>0.8528138528</v>
      </c>
      <c r="CA34" s="53">
        <f t="shared" si="79"/>
        <v>1.481578947</v>
      </c>
      <c r="CB34" s="53"/>
      <c r="CC34" s="53">
        <f>CC33/CC32</f>
        <v>1.624719101</v>
      </c>
      <c r="CD34" s="53"/>
    </row>
    <row r="35" ht="12.0" customHeight="1">
      <c r="A35" s="6"/>
      <c r="B35" s="36" t="s">
        <v>114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168"/>
      <c r="P35" s="74"/>
      <c r="Q35" s="74"/>
      <c r="R35" s="74"/>
      <c r="S35" s="74"/>
      <c r="T35" s="81"/>
      <c r="U35" s="74"/>
      <c r="V35" s="74"/>
      <c r="W35" s="74">
        <f t="shared" ref="W35:AA35" si="80">IFERROR(W33/W12,0)</f>
        <v>0.02219066837</v>
      </c>
      <c r="X35" s="74">
        <f t="shared" si="80"/>
        <v>0.04243424801</v>
      </c>
      <c r="Y35" s="74">
        <f t="shared" si="80"/>
        <v>0.05309862725</v>
      </c>
      <c r="Z35" s="74">
        <f t="shared" si="80"/>
        <v>0.04928877188</v>
      </c>
      <c r="AA35" s="74">
        <f t="shared" si="80"/>
        <v>0.04352851485</v>
      </c>
      <c r="AB35" s="168"/>
      <c r="AC35" s="74">
        <f t="shared" ref="AC35:AN35" si="81">IFERROR(AC33/AC12,0)</f>
        <v>0.03519977765</v>
      </c>
      <c r="AD35" s="74">
        <f t="shared" si="81"/>
        <v>0.03586800128</v>
      </c>
      <c r="AE35" s="74">
        <f t="shared" si="81"/>
        <v>0.03968988268</v>
      </c>
      <c r="AF35" s="74">
        <f t="shared" si="81"/>
        <v>0.04512204033</v>
      </c>
      <c r="AG35" s="74">
        <f t="shared" si="81"/>
        <v>0.0427920532</v>
      </c>
      <c r="AH35" s="74">
        <f t="shared" si="81"/>
        <v>0.06427039976</v>
      </c>
      <c r="AI35" s="74">
        <f t="shared" si="81"/>
        <v>0.05835890615</v>
      </c>
      <c r="AJ35" s="74">
        <f t="shared" si="81"/>
        <v>0.05135429683</v>
      </c>
      <c r="AK35" s="74">
        <f t="shared" si="81"/>
        <v>0.05222550731</v>
      </c>
      <c r="AL35" s="74">
        <f t="shared" si="81"/>
        <v>0.05948580685</v>
      </c>
      <c r="AM35" s="74">
        <f t="shared" si="81"/>
        <v>0.05998007877</v>
      </c>
      <c r="AN35" s="74">
        <f t="shared" si="81"/>
        <v>0.04928577641</v>
      </c>
      <c r="AO35" s="168"/>
      <c r="AP35" s="74">
        <f t="shared" ref="AP35:BA35" si="82">IFERROR(AP33/AP12,0)</f>
        <v>0.04188525163</v>
      </c>
      <c r="AQ35" s="74">
        <f t="shared" si="82"/>
        <v>0.03867950929</v>
      </c>
      <c r="AR35" s="74">
        <f t="shared" si="82"/>
        <v>0.04097057574</v>
      </c>
      <c r="AS35" s="74">
        <f t="shared" si="82"/>
        <v>0.04317645933</v>
      </c>
      <c r="AT35" s="74">
        <f t="shared" si="82"/>
        <v>0.1681464275</v>
      </c>
      <c r="AU35" s="74">
        <f t="shared" si="82"/>
        <v>0.05105385802</v>
      </c>
      <c r="AV35" s="74">
        <f t="shared" si="82"/>
        <v>0</v>
      </c>
      <c r="AW35" s="74">
        <f t="shared" si="82"/>
        <v>0</v>
      </c>
      <c r="AX35" s="74">
        <f t="shared" si="82"/>
        <v>0</v>
      </c>
      <c r="AY35" s="74">
        <f t="shared" si="82"/>
        <v>0</v>
      </c>
      <c r="AZ35" s="74">
        <f t="shared" si="82"/>
        <v>0</v>
      </c>
      <c r="BA35" s="74">
        <f t="shared" si="82"/>
        <v>0</v>
      </c>
      <c r="BB35" s="168"/>
      <c r="BC35" s="259"/>
      <c r="BD35" s="259"/>
      <c r="BE35" s="46" t="s">
        <v>115</v>
      </c>
      <c r="BF35" s="232">
        <f>O45</f>
        <v>203</v>
      </c>
      <c r="BG35" s="232">
        <f>AB46</f>
        <v>368</v>
      </c>
      <c r="BH35" s="232">
        <f>AB45</f>
        <v>394</v>
      </c>
      <c r="BI35" s="232">
        <f>AO46</f>
        <v>563</v>
      </c>
      <c r="BJ35" s="232">
        <f>AO45</f>
        <v>634</v>
      </c>
      <c r="BK35" s="232">
        <f>BB46</f>
        <v>723</v>
      </c>
      <c r="BL35" s="117"/>
      <c r="BM35" s="259"/>
      <c r="BN35" s="259"/>
      <c r="BO35" s="259"/>
      <c r="BP35" s="259"/>
      <c r="BQ35" s="259"/>
      <c r="BR35" s="259"/>
      <c r="BS35" s="259"/>
      <c r="BT35" s="259"/>
      <c r="BU35" s="259"/>
      <c r="BV35" s="259"/>
    </row>
    <row r="36" ht="12.0" customHeight="1">
      <c r="A36" s="6"/>
      <c r="B36" s="36" t="s">
        <v>117</v>
      </c>
      <c r="C36" s="37">
        <f>'SDDPL '!C36+Govind!C36+Parag!C36</f>
        <v>0</v>
      </c>
      <c r="D36" s="37">
        <f>'SDDPL '!D36+Govind!D36+Parag!D36</f>
        <v>0</v>
      </c>
      <c r="E36" s="37">
        <f>'SDDPL '!E36+Govind!E36+Parag!E36</f>
        <v>0</v>
      </c>
      <c r="F36" s="37">
        <f>'SDDPL '!F36+Govind!F36+Parag!F36</f>
        <v>0</v>
      </c>
      <c r="G36" s="37">
        <f>'SDDPL '!G36+Govind!G36+Parag!G36</f>
        <v>0</v>
      </c>
      <c r="H36" s="37">
        <f>'SDDPL '!H36+Govind!H36+Parag!H36</f>
        <v>0</v>
      </c>
      <c r="I36" s="37">
        <f>'SDDPL '!I36+Govind!I36+Parag!I36</f>
        <v>0</v>
      </c>
      <c r="J36" s="37">
        <f>'SDDPL '!J36+Govind!J36+Parag!J36</f>
        <v>0</v>
      </c>
      <c r="K36" s="37">
        <f>'SDDPL '!K36+Govind!K36+Parag!K36</f>
        <v>0</v>
      </c>
      <c r="L36" s="37">
        <f>'SDDPL '!L36+Govind!L36+Parag!L36</f>
        <v>0</v>
      </c>
      <c r="M36" s="37">
        <f>'SDDPL '!M36+Govind!M36+Parag!M36</f>
        <v>0</v>
      </c>
      <c r="N36" s="37">
        <f>'SDDPL '!N36+Govind!N36+Parag!N36</f>
        <v>0</v>
      </c>
      <c r="O36" s="73"/>
      <c r="P36" s="37">
        <f>'SDDPL '!P36+Govind!P36+Parag!P36</f>
        <v>0</v>
      </c>
      <c r="Q36" s="37">
        <f>'SDDPL '!Q36+Govind!Q36+Parag!Q36</f>
        <v>0</v>
      </c>
      <c r="R36" s="37">
        <f>'SDDPL '!R36+Govind!R36+Parag!R36</f>
        <v>0</v>
      </c>
      <c r="S36" s="37">
        <f>'SDDPL '!S36+Govind!S36+Parag!S36</f>
        <v>0</v>
      </c>
      <c r="T36" s="37">
        <f>'SDDPL '!T36+Govind!T36+Parag!T36</f>
        <v>0</v>
      </c>
      <c r="U36" s="37">
        <f>'SDDPL '!U36+Govind!U36+Parag!U36</f>
        <v>0</v>
      </c>
      <c r="V36" s="37">
        <f>'SDDPL '!V36+Govind!V36+Parag!V36</f>
        <v>0</v>
      </c>
      <c r="W36" s="37">
        <f>'SDDPL '!W36+Govind!W36+Parag!W36</f>
        <v>2157441</v>
      </c>
      <c r="X36" s="37">
        <f>'SDDPL '!X36+Govind!X36+Parag!X36</f>
        <v>3437129.7</v>
      </c>
      <c r="Y36" s="37">
        <f>'SDDPL '!Y36+Govind!Y36+Parag!Y36</f>
        <v>4171367</v>
      </c>
      <c r="Z36" s="37">
        <f>'SDDPL '!Z36+Govind!Z36+Parag!Z36</f>
        <v>5076822</v>
      </c>
      <c r="AA36" s="37">
        <f>'SDDPL '!AA36+Govind!AA36+Parag!AA36</f>
        <v>5096654</v>
      </c>
      <c r="AB36" s="73"/>
      <c r="AC36" s="37">
        <f>'SDDPL '!AC36+Govind!AC36+Parag!AC36</f>
        <v>5429707</v>
      </c>
      <c r="AD36" s="37">
        <f>'SDDPL '!AD36+Govind!AD36+Parag!AD36</f>
        <v>5095846</v>
      </c>
      <c r="AE36" s="37">
        <f>'SDDPL '!AE36+Govind!AE36+Parag!AE36</f>
        <v>4979812</v>
      </c>
      <c r="AF36" s="37">
        <f>'SDDPL '!AF36+Govind!AF36+Parag!AF36</f>
        <v>4863517</v>
      </c>
      <c r="AG36" s="37">
        <f>'SDDPL '!AG36+Govind!AG36+Parag!AG36</f>
        <v>5148460</v>
      </c>
      <c r="AH36" s="37">
        <f>'SDDPL '!AH36+Govind!AH36+Parag!AH36</f>
        <v>4864193</v>
      </c>
      <c r="AI36" s="37">
        <f>'SDDPL '!AI36+Govind!AI36+Parag!AI36</f>
        <v>4729848</v>
      </c>
      <c r="AJ36" s="37">
        <f>'SDDPL '!AJ36+Govind!AJ36+Parag!AJ36</f>
        <v>4373922</v>
      </c>
      <c r="AK36" s="37">
        <f>'SDDPL '!AK36+Govind!AK36+Parag!AK36</f>
        <v>4241763</v>
      </c>
      <c r="AL36" s="37">
        <f>'SDDPL '!AL36+Govind!AL36+Parag!AL36</f>
        <v>4142040</v>
      </c>
      <c r="AM36" s="37">
        <f>'SDDPL '!AM36+Govind!AM36+Parag!AM36</f>
        <v>4406744</v>
      </c>
      <c r="AN36" s="37">
        <f>'SDDPL '!AN36+Govind!AN36+Parag!AN36</f>
        <v>4741283</v>
      </c>
      <c r="AO36" s="73"/>
      <c r="AP36" s="37">
        <f>'SDDPL '!AP36+Govind!AP36+Parag!AP36</f>
        <v>4905372</v>
      </c>
      <c r="AQ36" s="37">
        <f>'SDDPL '!AQ36+Govind!AQ36+Parag!AQ36</f>
        <v>4263745</v>
      </c>
      <c r="AR36" s="37">
        <f>'SDDPL '!AR36+Govind!AR36+Parag!AR36</f>
        <v>4688796</v>
      </c>
      <c r="AS36" s="37">
        <f>'SDDPL '!AS36+Govind!AS36+Parag!AS36</f>
        <v>4734865</v>
      </c>
      <c r="AT36" s="37">
        <f>'SDDPL '!AT36+Govind!AT36+Parag!AT36</f>
        <v>4988519</v>
      </c>
      <c r="AU36" s="37">
        <f>'SDDPL '!AU36+Govind!AU36+Parag!AU36</f>
        <v>4326270</v>
      </c>
      <c r="AV36" s="37">
        <f>'SDDPL '!AV36+Govind!AV36+Parag!AV36</f>
        <v>0</v>
      </c>
      <c r="AW36" s="37">
        <f>'SDDPL '!AW36+Govind!AW36+Parag!AW36</f>
        <v>0</v>
      </c>
      <c r="AX36" s="37">
        <f>'SDDPL '!AX36+Govind!AX36+Parag!AX36</f>
        <v>0</v>
      </c>
      <c r="AY36" s="37">
        <f>'SDDPL '!AY36+Govind!AY36+Parag!AY36</f>
        <v>0</v>
      </c>
      <c r="AZ36" s="37">
        <f>'SDDPL '!AZ36+Govind!AZ36+Parag!AZ36</f>
        <v>0</v>
      </c>
      <c r="BA36" s="37">
        <f>'SDDPL '!BA36+Govind!BA36+Parag!BA36</f>
        <v>0</v>
      </c>
      <c r="BB36" s="73"/>
      <c r="BC36" s="259"/>
      <c r="BD36" s="259"/>
      <c r="BE36" s="259"/>
      <c r="BF36" s="259"/>
      <c r="BG36" s="259"/>
      <c r="BH36" s="259"/>
      <c r="BI36" s="259"/>
      <c r="BJ36" s="259"/>
      <c r="BK36" s="259"/>
      <c r="BL36" s="259"/>
      <c r="BM36" s="259"/>
      <c r="BN36" s="259"/>
      <c r="BO36" s="259"/>
      <c r="BP36" s="259"/>
      <c r="BQ36" s="259"/>
      <c r="BR36" s="259"/>
      <c r="BS36" s="259"/>
      <c r="BT36" s="259"/>
      <c r="BU36" s="259"/>
      <c r="BV36" s="259"/>
      <c r="BW36" s="99"/>
      <c r="BX36" s="99"/>
      <c r="BY36" s="99"/>
      <c r="BZ36" s="99"/>
      <c r="CA36" s="99"/>
      <c r="CB36" s="99"/>
      <c r="CC36" s="99"/>
      <c r="CD36" s="99"/>
    </row>
    <row r="37" ht="12.0" customHeight="1">
      <c r="A37" s="6"/>
      <c r="B37" s="36" t="s">
        <v>118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168"/>
      <c r="P37" s="74"/>
      <c r="Q37" s="74"/>
      <c r="R37" s="74"/>
      <c r="S37" s="74"/>
      <c r="T37" s="81"/>
      <c r="U37" s="74"/>
      <c r="V37" s="74"/>
      <c r="W37" s="74">
        <f t="shared" ref="W37:AA37" si="83">IFERROR(W36/W12,0)</f>
        <v>0.359031518</v>
      </c>
      <c r="X37" s="74">
        <f t="shared" si="83"/>
        <v>0.5464040447</v>
      </c>
      <c r="Y37" s="74">
        <f t="shared" si="83"/>
        <v>0.6069788372</v>
      </c>
      <c r="Z37" s="74">
        <f t="shared" si="83"/>
        <v>0.7178932914</v>
      </c>
      <c r="AA37" s="74">
        <f t="shared" si="83"/>
        <v>0.6732746256</v>
      </c>
      <c r="AB37" s="168"/>
      <c r="AC37" s="74">
        <f t="shared" ref="AC37:AN37" si="84">IFERROR(AC36/AC12,0)</f>
        <v>0.7012558582</v>
      </c>
      <c r="AD37" s="74">
        <f t="shared" si="84"/>
        <v>0.7546845706</v>
      </c>
      <c r="AE37" s="74">
        <f t="shared" si="84"/>
        <v>0.7079392884</v>
      </c>
      <c r="AF37" s="74">
        <f t="shared" si="84"/>
        <v>0.7025313014</v>
      </c>
      <c r="AG37" s="74">
        <f t="shared" si="84"/>
        <v>0.698526537</v>
      </c>
      <c r="AH37" s="74">
        <f t="shared" si="84"/>
        <v>0.6600177026</v>
      </c>
      <c r="AI37" s="74">
        <f t="shared" si="84"/>
        <v>0.6583814232</v>
      </c>
      <c r="AJ37" s="74">
        <f t="shared" si="84"/>
        <v>0.648257429</v>
      </c>
      <c r="AK37" s="74">
        <f t="shared" si="84"/>
        <v>0.6466595113</v>
      </c>
      <c r="AL37" s="74">
        <f t="shared" si="84"/>
        <v>0.6069147337</v>
      </c>
      <c r="AM37" s="74">
        <f t="shared" si="84"/>
        <v>0.6535776949</v>
      </c>
      <c r="AN37" s="74">
        <f t="shared" si="84"/>
        <v>0.6973649393</v>
      </c>
      <c r="AO37" s="168"/>
      <c r="AP37" s="74">
        <f t="shared" ref="AP37:BA37" si="85">IFERROR(AP36/AP12,0)</f>
        <v>0.7267097445</v>
      </c>
      <c r="AQ37" s="74">
        <f t="shared" si="85"/>
        <v>0.712833511</v>
      </c>
      <c r="AR37" s="74">
        <f t="shared" si="85"/>
        <v>0.7165145682</v>
      </c>
      <c r="AS37" s="74">
        <f t="shared" si="85"/>
        <v>0.7065300358</v>
      </c>
      <c r="AT37" s="74">
        <f t="shared" si="85"/>
        <v>0.7156619054</v>
      </c>
      <c r="AU37" s="74">
        <f t="shared" si="85"/>
        <v>0.6366209148</v>
      </c>
      <c r="AV37" s="74">
        <f t="shared" si="85"/>
        <v>0</v>
      </c>
      <c r="AW37" s="74">
        <f t="shared" si="85"/>
        <v>0</v>
      </c>
      <c r="AX37" s="74">
        <f t="shared" si="85"/>
        <v>0</v>
      </c>
      <c r="AY37" s="74">
        <f t="shared" si="85"/>
        <v>0</v>
      </c>
      <c r="AZ37" s="74">
        <f t="shared" si="85"/>
        <v>0</v>
      </c>
      <c r="BA37" s="74">
        <f t="shared" si="85"/>
        <v>0</v>
      </c>
      <c r="BB37" s="168"/>
      <c r="BC37" s="259"/>
      <c r="BD37" s="259"/>
      <c r="BE37" s="259"/>
      <c r="BF37" s="259"/>
      <c r="BG37" s="259"/>
      <c r="BH37" s="259"/>
      <c r="BI37" s="259"/>
      <c r="BJ37" s="259"/>
      <c r="BK37" s="259"/>
      <c r="BL37" s="259"/>
      <c r="BM37" s="259"/>
      <c r="BN37" s="259"/>
      <c r="BO37" s="259"/>
      <c r="BP37" s="259"/>
      <c r="BQ37" s="259"/>
      <c r="BR37" s="259"/>
      <c r="BS37" s="259"/>
      <c r="BT37" s="259"/>
      <c r="BU37" s="259"/>
      <c r="BV37" s="259"/>
      <c r="BW37" s="99"/>
    </row>
    <row r="38" ht="12.0" customHeight="1">
      <c r="A38" s="101" t="s">
        <v>120</v>
      </c>
      <c r="B38" s="102" t="s">
        <v>121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>
        <f>'SDDPL '!P38+Govind!P38+Parag!P38</f>
        <v>8422</v>
      </c>
      <c r="Q38" s="103">
        <f>'SDDPL '!Q38+Govind!Q38+Parag!Q38</f>
        <v>8517</v>
      </c>
      <c r="R38" s="103">
        <f>'SDDPL '!R38+Govind!R38+Parag!R38</f>
        <v>8612</v>
      </c>
      <c r="S38" s="103">
        <f>'SDDPL '!S38+Govind!S38+Parag!S38</f>
        <v>8707</v>
      </c>
      <c r="T38" s="103">
        <f>'SDDPL '!T38+Govind!T38+Parag!T38</f>
        <v>8802</v>
      </c>
      <c r="U38" s="103">
        <f>'SDDPL '!U38+Govind!U38+Parag!U38</f>
        <v>8897</v>
      </c>
      <c r="V38" s="103">
        <f>'SDDPL '!V38+Govind!V38+Parag!V38</f>
        <v>9017</v>
      </c>
      <c r="W38" s="103">
        <f>'SDDPL '!W38+Govind!W38+Parag!W38</f>
        <v>9137</v>
      </c>
      <c r="X38" s="103">
        <f>'SDDPL '!X38+Govind!X38+Parag!X38</f>
        <v>9287</v>
      </c>
      <c r="Y38" s="103">
        <f>'SDDPL '!Y38+Govind!Y38+Parag!Y38</f>
        <v>9437</v>
      </c>
      <c r="Z38" s="103">
        <f>'SDDPL '!Z38+Govind!Z38+Parag!Z38</f>
        <v>9587</v>
      </c>
      <c r="AA38" s="103">
        <f>'SDDPL '!AA38+Govind!AA38+Parag!AA38</f>
        <v>9735</v>
      </c>
      <c r="AB38" s="103">
        <f>'SDDPL '!AB38+Govind!AB38+Parag!AB38</f>
        <v>9735</v>
      </c>
      <c r="AC38" s="103">
        <f t="shared" ref="AC38:AN38" si="86">AB38+200</f>
        <v>9935</v>
      </c>
      <c r="AD38" s="103">
        <f t="shared" si="86"/>
        <v>10135</v>
      </c>
      <c r="AE38" s="103">
        <f t="shared" si="86"/>
        <v>10335</v>
      </c>
      <c r="AF38" s="103">
        <f t="shared" si="86"/>
        <v>10535</v>
      </c>
      <c r="AG38" s="103">
        <f t="shared" si="86"/>
        <v>10735</v>
      </c>
      <c r="AH38" s="103">
        <f t="shared" si="86"/>
        <v>10935</v>
      </c>
      <c r="AI38" s="103">
        <f t="shared" si="86"/>
        <v>11135</v>
      </c>
      <c r="AJ38" s="103">
        <f t="shared" si="86"/>
        <v>11335</v>
      </c>
      <c r="AK38" s="103">
        <f t="shared" si="86"/>
        <v>11535</v>
      </c>
      <c r="AL38" s="103">
        <f t="shared" si="86"/>
        <v>11735</v>
      </c>
      <c r="AM38" s="103">
        <f t="shared" si="86"/>
        <v>11935</v>
      </c>
      <c r="AN38" s="103">
        <f t="shared" si="86"/>
        <v>12135</v>
      </c>
      <c r="AO38" s="103">
        <f t="shared" ref="AO38:AO41" si="88">AN38</f>
        <v>12135</v>
      </c>
      <c r="AP38" s="103">
        <f t="shared" ref="AP38:BA38" si="87">AO38+100</f>
        <v>12235</v>
      </c>
      <c r="AQ38" s="103">
        <f t="shared" si="87"/>
        <v>12335</v>
      </c>
      <c r="AR38" s="103">
        <f t="shared" si="87"/>
        <v>12435</v>
      </c>
      <c r="AS38" s="103">
        <f t="shared" si="87"/>
        <v>12535</v>
      </c>
      <c r="AT38" s="103">
        <f t="shared" si="87"/>
        <v>12635</v>
      </c>
      <c r="AU38" s="103">
        <f t="shared" si="87"/>
        <v>12735</v>
      </c>
      <c r="AV38" s="103">
        <f t="shared" si="87"/>
        <v>12835</v>
      </c>
      <c r="AW38" s="103">
        <f t="shared" si="87"/>
        <v>12935</v>
      </c>
      <c r="AX38" s="103">
        <f t="shared" si="87"/>
        <v>13035</v>
      </c>
      <c r="AY38" s="103">
        <f t="shared" si="87"/>
        <v>13135</v>
      </c>
      <c r="AZ38" s="103">
        <f t="shared" si="87"/>
        <v>13235</v>
      </c>
      <c r="BA38" s="103">
        <f t="shared" si="87"/>
        <v>13335</v>
      </c>
      <c r="BB38" s="103">
        <f>BA38</f>
        <v>13335</v>
      </c>
      <c r="BC38" s="13"/>
      <c r="BD38" s="259"/>
      <c r="BE38" s="259"/>
      <c r="BF38" s="259"/>
      <c r="BG38" s="259"/>
      <c r="BH38" s="259"/>
      <c r="BI38" s="259"/>
      <c r="BJ38" s="259"/>
      <c r="BK38" s="259"/>
      <c r="BL38" s="259"/>
      <c r="BM38" s="259"/>
      <c r="BN38" s="259"/>
      <c r="BO38" s="259"/>
      <c r="BP38" s="259"/>
      <c r="BQ38" s="259"/>
      <c r="BR38" s="259"/>
      <c r="BS38" s="259"/>
      <c r="BT38" s="259"/>
      <c r="BU38" s="259"/>
      <c r="BV38" s="259"/>
      <c r="BW38" s="11"/>
    </row>
    <row r="39" ht="12.0" customHeight="1">
      <c r="A39" s="108"/>
      <c r="B39" s="109" t="s">
        <v>122</v>
      </c>
      <c r="C39" s="110">
        <f>'SDDPL '!C39+Govind!C39+Parag!C39</f>
        <v>7750</v>
      </c>
      <c r="D39" s="110">
        <f>'SDDPL '!D39+Govind!D39+Parag!D39</f>
        <v>7790</v>
      </c>
      <c r="E39" s="110">
        <f>'SDDPL '!E39+Govind!E39+Parag!E39</f>
        <v>7835</v>
      </c>
      <c r="F39" s="110">
        <f>'SDDPL '!F39+Govind!F39+Parag!F39</f>
        <v>7880</v>
      </c>
      <c r="G39" s="110">
        <f>'SDDPL '!G39+Govind!G39+Parag!G39</f>
        <v>7925</v>
      </c>
      <c r="H39" s="110">
        <f>'SDDPL '!H39+Govind!H39+Parag!H39</f>
        <v>7970</v>
      </c>
      <c r="I39" s="110">
        <f>'SDDPL '!I39+Govind!I39+Parag!I39</f>
        <v>8020</v>
      </c>
      <c r="J39" s="110">
        <f>'SDDPL '!J39+Govind!J39+Parag!J39</f>
        <v>8070</v>
      </c>
      <c r="K39" s="110">
        <f>'SDDPL '!K39+Govind!K39+Parag!K39</f>
        <v>8135</v>
      </c>
      <c r="L39" s="110">
        <f>'SDDPL '!L39+Govind!L39+Parag!L39</f>
        <v>8205</v>
      </c>
      <c r="M39" s="110">
        <f>'SDDPL '!M39+Govind!M39+Parag!M39</f>
        <v>8275</v>
      </c>
      <c r="N39" s="110">
        <f>'SDDPL '!N39+Govind!N39+Parag!N39</f>
        <v>8347</v>
      </c>
      <c r="O39" s="110">
        <f t="shared" ref="O39:O40" si="89">N39</f>
        <v>8347</v>
      </c>
      <c r="P39" s="110">
        <f>'SDDPL '!P39+Govind!P39+Parag!P39</f>
        <v>8467</v>
      </c>
      <c r="Q39" s="110">
        <f>'SDDPL '!Q39+Govind!Q39+Parag!Q39</f>
        <v>8580</v>
      </c>
      <c r="R39" s="110">
        <f>'SDDPL '!R39+Govind!R39+Parag!R39</f>
        <v>8711</v>
      </c>
      <c r="S39" s="110">
        <f>'SDDPL '!S39+Govind!S39+Parag!S39</f>
        <v>8851</v>
      </c>
      <c r="T39" s="110">
        <f>'SDDPL '!T39+Govind!T39+Parag!T39</f>
        <v>9014</v>
      </c>
      <c r="U39" s="110">
        <f>'SDDPL '!U39+Govind!U39+Parag!U39</f>
        <v>9179</v>
      </c>
      <c r="V39" s="110">
        <f>'SDDPL '!V39+Govind!V39+Parag!V39</f>
        <v>9374</v>
      </c>
      <c r="W39" s="110">
        <f>'SDDPL '!W39+Govind!W39+Parag!W39</f>
        <v>9674</v>
      </c>
      <c r="X39" s="110">
        <f>'SDDPL '!X39+Govind!X39+Parag!X39</f>
        <v>9953</v>
      </c>
      <c r="Y39" s="110">
        <f>'SDDPL '!Y39+Govind!Y39+Parag!Y39</f>
        <v>10210</v>
      </c>
      <c r="Z39" s="110">
        <f>'SDDPL '!Z39+Govind!Z39+Parag!Z39</f>
        <v>10320</v>
      </c>
      <c r="AA39" s="110">
        <f>'SDDPL '!AA39+Govind!AA39+Parag!AA39</f>
        <v>10676</v>
      </c>
      <c r="AB39" s="110">
        <f>'SDDPL '!AB39+Govind!AB39+Parag!AB39</f>
        <v>10676</v>
      </c>
      <c r="AC39" s="110">
        <f>'SDDPL '!AC39+Govind!AC39+Parag!AC39</f>
        <v>10775</v>
      </c>
      <c r="AD39" s="110">
        <f>'SDDPL '!AD39+Govind!AD39+Parag!AD39</f>
        <v>11770</v>
      </c>
      <c r="AE39" s="110">
        <f>'SDDPL '!AE39+Govind!AE39+Parag!AE39</f>
        <v>11856</v>
      </c>
      <c r="AF39" s="110">
        <f>'SDDPL '!AF39+Govind!AF39+Parag!AF39</f>
        <v>11974</v>
      </c>
      <c r="AG39" s="110">
        <f>'SDDPL '!AG39+Govind!AG39+Parag!AG39</f>
        <v>11913</v>
      </c>
      <c r="AH39" s="110">
        <f>'SDDPL '!AH39+Govind!AH39+Parag!AH39</f>
        <v>11903</v>
      </c>
      <c r="AI39" s="110">
        <f>'SDDPL '!AI39+Govind!AI39+Parag!AI39</f>
        <v>12004</v>
      </c>
      <c r="AJ39" s="110">
        <f>'SDDPL '!AJ39+Govind!AJ39+Parag!AJ39</f>
        <v>12040</v>
      </c>
      <c r="AK39" s="110">
        <f>'SDDPL '!AK39+Govind!AK39+Parag!AK39</f>
        <v>12051</v>
      </c>
      <c r="AL39" s="110">
        <f>'SDDPL '!AL39+Govind!AL39+Parag!AL39</f>
        <v>12652</v>
      </c>
      <c r="AM39" s="110">
        <f>'SDDPL '!AM39+Govind!AM39+Parag!AM39</f>
        <v>12413</v>
      </c>
      <c r="AN39" s="110">
        <f>'SDDPL '!AN39+Govind!AN39+Parag!AN39</f>
        <v>12232</v>
      </c>
      <c r="AO39" s="110">
        <f t="shared" si="88"/>
        <v>12232</v>
      </c>
      <c r="AP39" s="110">
        <f>'SDDPL '!AP39+Govind!AP39+Parag!AP39</f>
        <v>12251</v>
      </c>
      <c r="AQ39" s="110">
        <f>'SDDPL '!AQ39+Govind!AQ39+Parag!AQ39</f>
        <v>12199</v>
      </c>
      <c r="AR39" s="110">
        <f>'SDDPL '!AR39+Govind!AR39+Parag!AR39</f>
        <v>12097</v>
      </c>
      <c r="AS39" s="110">
        <f>'SDDPL '!AS39+Govind!AS39+Parag!AS39</f>
        <v>12116</v>
      </c>
      <c r="AT39" s="110">
        <f>'SDDPL '!AT39+Govind!AT39+Parag!AT39</f>
        <v>12239</v>
      </c>
      <c r="AU39" s="110">
        <f>'SDDPL '!AU39+Govind!AU39+Parag!AU39</f>
        <v>12270</v>
      </c>
      <c r="AV39" s="110">
        <f>'SDDPL '!AV39+Govind!AV39+Parag!AV39</f>
        <v>0</v>
      </c>
      <c r="AW39" s="110">
        <f>'SDDPL '!AW39+Govind!AW39+Parag!AW39</f>
        <v>0</v>
      </c>
      <c r="AX39" s="110">
        <f>'SDDPL '!AX39+Govind!AX39+Parag!AX39</f>
        <v>0</v>
      </c>
      <c r="AY39" s="110">
        <f>'SDDPL '!AY39+Govind!AY39+Parag!AY39</f>
        <v>0</v>
      </c>
      <c r="AZ39" s="110">
        <f>'SDDPL '!AZ39+Govind!AZ39+Parag!AZ39</f>
        <v>0</v>
      </c>
      <c r="BA39" s="110">
        <f>'SDDPL '!BA39+Govind!BA39+Parag!BA39</f>
        <v>0</v>
      </c>
      <c r="BB39" s="110">
        <f t="shared" ref="BB39:BB40" si="90">AU39</f>
        <v>12270</v>
      </c>
      <c r="BC39" s="259"/>
      <c r="BD39" s="259"/>
      <c r="BE39" s="259"/>
      <c r="BF39" s="259"/>
      <c r="BG39" s="259"/>
      <c r="BH39" s="259"/>
      <c r="BI39" s="259"/>
      <c r="BJ39" s="259"/>
      <c r="BK39" s="259"/>
      <c r="BL39" s="259"/>
      <c r="BM39" s="259"/>
      <c r="BN39" s="259"/>
      <c r="BO39" s="259"/>
      <c r="BP39" s="259"/>
      <c r="BQ39" s="259"/>
      <c r="BR39" s="259"/>
      <c r="BS39" s="259"/>
      <c r="BT39" s="259"/>
      <c r="BU39" s="259"/>
      <c r="BV39" s="259"/>
      <c r="BW39" s="11"/>
    </row>
    <row r="40" ht="12.0" customHeight="1">
      <c r="A40" s="108"/>
      <c r="B40" s="113" t="s">
        <v>123</v>
      </c>
      <c r="C40" s="114">
        <f>'SDDPL '!C40+Govind!C40+Parag!C40</f>
        <v>355</v>
      </c>
      <c r="D40" s="114">
        <f>'SDDPL '!D40+Govind!D40+Parag!D40</f>
        <v>368</v>
      </c>
      <c r="E40" s="114">
        <f>'SDDPL '!E40+Govind!E40+Parag!E40</f>
        <v>384</v>
      </c>
      <c r="F40" s="114">
        <f>'SDDPL '!F40+Govind!F40+Parag!F40</f>
        <v>400</v>
      </c>
      <c r="G40" s="114">
        <f>'SDDPL '!G40+Govind!G40+Parag!G40</f>
        <v>422</v>
      </c>
      <c r="H40" s="114">
        <f>'SDDPL '!H40+Govind!H40+Parag!H40</f>
        <v>444</v>
      </c>
      <c r="I40" s="114">
        <f>'SDDPL '!I40+Govind!I40+Parag!I40</f>
        <v>463</v>
      </c>
      <c r="J40" s="114">
        <f>'SDDPL '!J40+Govind!J40+Parag!J40</f>
        <v>475</v>
      </c>
      <c r="K40" s="114">
        <f>'SDDPL '!K40+Govind!K40+Parag!K40</f>
        <v>488</v>
      </c>
      <c r="L40" s="114">
        <f>'SDDPL '!L40+Govind!L40+Parag!L40</f>
        <v>498</v>
      </c>
      <c r="M40" s="114">
        <f>'SDDPL '!M40+Govind!M40+Parag!M40</f>
        <v>508</v>
      </c>
      <c r="N40" s="114">
        <f>'SDDPL '!N40+Govind!N40+Parag!N40</f>
        <v>524</v>
      </c>
      <c r="O40" s="181">
        <f t="shared" si="89"/>
        <v>524</v>
      </c>
      <c r="P40" s="114">
        <f>'SDDPL '!P40+Govind!P40+Parag!P40</f>
        <v>1115</v>
      </c>
      <c r="Q40" s="114">
        <f>'SDDPL '!Q40+Govind!Q40+Parag!Q40</f>
        <v>1140</v>
      </c>
      <c r="R40" s="114">
        <f>'SDDPL '!R40+Govind!R40+Parag!R40</f>
        <v>1178</v>
      </c>
      <c r="S40" s="114">
        <f>'SDDPL '!S40+Govind!S40+Parag!S40</f>
        <v>1351</v>
      </c>
      <c r="T40" s="114">
        <f>'SDDPL '!T40+Govind!T40+Parag!T40</f>
        <v>1375</v>
      </c>
      <c r="U40" s="114">
        <f>'SDDPL '!U40+Govind!U40+Parag!U40</f>
        <v>1449</v>
      </c>
      <c r="V40" s="114">
        <f>'SDDPL '!V40+Govind!V40+Parag!V40</f>
        <v>1662</v>
      </c>
      <c r="W40" s="114">
        <f>'SDDPL '!W40+Govind!W40+Parag!W40</f>
        <v>1722</v>
      </c>
      <c r="X40" s="114">
        <f>'SDDPL '!X40+Govind!X40+Parag!X40</f>
        <v>1837</v>
      </c>
      <c r="Y40" s="114">
        <f>'SDDPL '!Y40+Govind!Y40+Parag!Y40</f>
        <v>2251</v>
      </c>
      <c r="Z40" s="114">
        <f>'SDDPL '!Z40+Govind!Z40+Parag!Z40</f>
        <v>2392</v>
      </c>
      <c r="AA40" s="114">
        <f>'SDDPL '!AA40+Govind!AA40+Parag!AA40</f>
        <v>2525</v>
      </c>
      <c r="AB40" s="181">
        <f>'SDDPL '!AB40+Govind!AB40+Parag!AB40</f>
        <v>2525</v>
      </c>
      <c r="AC40" s="114">
        <f>'SDDPL '!AC40+Govind!AC40+Parag!AC40</f>
        <v>2526</v>
      </c>
      <c r="AD40" s="114">
        <f>'SDDPL '!AD40+Govind!AD40+Parag!AD40</f>
        <v>2607</v>
      </c>
      <c r="AE40" s="114">
        <f>'SDDPL '!AE40+Govind!AE40+Parag!AE40</f>
        <v>2749</v>
      </c>
      <c r="AF40" s="114">
        <f>'SDDPL '!AF40+Govind!AF40+Parag!AF40</f>
        <v>2732</v>
      </c>
      <c r="AG40" s="114">
        <f>'SDDPL '!AG40+Govind!AG40+Parag!AG40</f>
        <v>2759</v>
      </c>
      <c r="AH40" s="114">
        <f>'SDDPL '!AH40+Govind!AH40+Parag!AH40</f>
        <v>2813</v>
      </c>
      <c r="AI40" s="114">
        <f>'SDDPL '!AI40+Govind!AI40+Parag!AI40</f>
        <v>2880</v>
      </c>
      <c r="AJ40" s="114">
        <f>'SDDPL '!AJ40+Govind!AJ40+Parag!AJ40</f>
        <v>2795</v>
      </c>
      <c r="AK40" s="114">
        <f>'SDDPL '!AK40+Govind!AK40+Parag!AK40</f>
        <v>2814</v>
      </c>
      <c r="AL40" s="114">
        <f>'SDDPL '!AL40+Govind!AL40+Parag!AL40</f>
        <v>3270</v>
      </c>
      <c r="AM40" s="114">
        <f>'SDDPL '!AM40+Govind!AM40+Parag!AM40</f>
        <v>3960</v>
      </c>
      <c r="AN40" s="114">
        <f>'SDDPL '!AN40+Govind!AN40+Parag!AN40</f>
        <v>5203</v>
      </c>
      <c r="AO40" s="181">
        <f t="shared" si="88"/>
        <v>5203</v>
      </c>
      <c r="AP40" s="114">
        <f>'SDDPL '!AP40+Govind!AP40+Parag!AP40</f>
        <v>5614</v>
      </c>
      <c r="AQ40" s="114">
        <f>'SDDPL '!AQ40+Govind!AQ40+Parag!AQ40</f>
        <v>5697</v>
      </c>
      <c r="AR40" s="114">
        <f>'SDDPL '!AR40+Govind!AR40+Parag!AR40</f>
        <v>5783</v>
      </c>
      <c r="AS40" s="114">
        <f>'SDDPL '!AS40+Govind!AS40+Parag!AS40</f>
        <v>5754</v>
      </c>
      <c r="AT40" s="114">
        <f>'SDDPL '!AT40+Govind!AT40+Parag!AT40</f>
        <v>5855</v>
      </c>
      <c r="AU40" s="114">
        <f>'SDDPL '!AU40+Govind!AU40+Parag!AU40</f>
        <v>6177</v>
      </c>
      <c r="AV40" s="114">
        <f>'SDDPL '!AV40+Govind!AV40+Parag!AV40</f>
        <v>0</v>
      </c>
      <c r="AW40" s="114">
        <f>'SDDPL '!AW40+Govind!AW40+Parag!AW40</f>
        <v>0</v>
      </c>
      <c r="AX40" s="114">
        <f>'SDDPL '!AX40+Govind!AX40+Parag!AX40</f>
        <v>0</v>
      </c>
      <c r="AY40" s="114">
        <f>'SDDPL '!AY40+Govind!AY40+Parag!AY40</f>
        <v>0</v>
      </c>
      <c r="AZ40" s="114">
        <f>'SDDPL '!AZ40+Govind!AZ40+Parag!AZ40</f>
        <v>0</v>
      </c>
      <c r="BA40" s="114">
        <f>'SDDPL '!BA40+Govind!BA40+Parag!BA40</f>
        <v>0</v>
      </c>
      <c r="BB40" s="181">
        <f t="shared" si="90"/>
        <v>6177</v>
      </c>
      <c r="BC40" s="13">
        <f>BB40-O40</f>
        <v>5653</v>
      </c>
      <c r="BD40" s="259"/>
      <c r="BE40" s="259"/>
      <c r="BF40" s="259"/>
      <c r="BG40" s="259"/>
      <c r="BH40" s="259"/>
      <c r="BI40" s="259"/>
      <c r="BJ40" s="259"/>
      <c r="BK40" s="259"/>
      <c r="BL40" s="259"/>
      <c r="BM40" s="259"/>
      <c r="BN40" s="259"/>
      <c r="BO40" s="259"/>
      <c r="BP40" s="259"/>
      <c r="BQ40" s="259"/>
      <c r="BR40" s="259"/>
      <c r="BS40" s="259"/>
      <c r="BT40" s="259"/>
      <c r="BU40" s="259"/>
      <c r="BV40" s="259"/>
      <c r="BW40" s="11"/>
    </row>
    <row r="41" ht="12.0" customHeight="1">
      <c r="A41" s="108"/>
      <c r="B41" s="102" t="s">
        <v>124</v>
      </c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>
        <f>'SDDPL '!P41+Govind!P41+Parag!P41</f>
        <v>570</v>
      </c>
      <c r="Q41" s="103">
        <f>'SDDPL '!Q41+Govind!Q41+Parag!Q41</f>
        <v>640</v>
      </c>
      <c r="R41" s="103">
        <f>'SDDPL '!R41+Govind!R41+Parag!R41</f>
        <v>710</v>
      </c>
      <c r="S41" s="103">
        <f>'SDDPL '!S41+Govind!S41+Parag!S41</f>
        <v>780</v>
      </c>
      <c r="T41" s="103">
        <f>'SDDPL '!T41+Govind!T41+Parag!T41</f>
        <v>850</v>
      </c>
      <c r="U41" s="103">
        <f>'SDDPL '!U41+Govind!U41+Parag!U41</f>
        <v>920</v>
      </c>
      <c r="V41" s="103">
        <f>'SDDPL '!V41+Govind!V41+Parag!V41</f>
        <v>995</v>
      </c>
      <c r="W41" s="103">
        <f>'SDDPL '!W41+Govind!W41+Parag!W41</f>
        <v>1075</v>
      </c>
      <c r="X41" s="103">
        <f>'SDDPL '!X41+Govind!X41+Parag!X41</f>
        <v>1165</v>
      </c>
      <c r="Y41" s="103">
        <f>'SDDPL '!Y41+Govind!Y41+Parag!Y41</f>
        <v>1255</v>
      </c>
      <c r="Z41" s="103">
        <f>'SDDPL '!Z41+Govind!Z41+Parag!Z41</f>
        <v>1345</v>
      </c>
      <c r="AA41" s="103">
        <f>'SDDPL '!AA41+Govind!AA41+Parag!AA41</f>
        <v>1466</v>
      </c>
      <c r="AB41" s="103">
        <f>'SDDPL '!AB41+Govind!AB41+Parag!AB41</f>
        <v>1466</v>
      </c>
      <c r="AC41" s="103">
        <f t="shared" ref="AC41:AN41" si="91">AB41+280</f>
        <v>1746</v>
      </c>
      <c r="AD41" s="103">
        <f t="shared" si="91"/>
        <v>2026</v>
      </c>
      <c r="AE41" s="103">
        <f t="shared" si="91"/>
        <v>2306</v>
      </c>
      <c r="AF41" s="103">
        <f t="shared" si="91"/>
        <v>2586</v>
      </c>
      <c r="AG41" s="103">
        <f t="shared" si="91"/>
        <v>2866</v>
      </c>
      <c r="AH41" s="103">
        <f t="shared" si="91"/>
        <v>3146</v>
      </c>
      <c r="AI41" s="103">
        <f t="shared" si="91"/>
        <v>3426</v>
      </c>
      <c r="AJ41" s="103">
        <f t="shared" si="91"/>
        <v>3706</v>
      </c>
      <c r="AK41" s="103">
        <f t="shared" si="91"/>
        <v>3986</v>
      </c>
      <c r="AL41" s="103">
        <f t="shared" si="91"/>
        <v>4266</v>
      </c>
      <c r="AM41" s="103">
        <f t="shared" si="91"/>
        <v>4546</v>
      </c>
      <c r="AN41" s="103">
        <f t="shared" si="91"/>
        <v>4826</v>
      </c>
      <c r="AO41" s="103">
        <f t="shared" si="88"/>
        <v>4826</v>
      </c>
      <c r="AP41" s="103">
        <f t="shared" ref="AP41:BA41" si="92">AO41+265</f>
        <v>5091</v>
      </c>
      <c r="AQ41" s="103">
        <f t="shared" si="92"/>
        <v>5356</v>
      </c>
      <c r="AR41" s="103">
        <f t="shared" si="92"/>
        <v>5621</v>
      </c>
      <c r="AS41" s="103">
        <f t="shared" si="92"/>
        <v>5886</v>
      </c>
      <c r="AT41" s="103">
        <f t="shared" si="92"/>
        <v>6151</v>
      </c>
      <c r="AU41" s="103">
        <f t="shared" si="92"/>
        <v>6416</v>
      </c>
      <c r="AV41" s="103">
        <f t="shared" si="92"/>
        <v>6681</v>
      </c>
      <c r="AW41" s="103">
        <f t="shared" si="92"/>
        <v>6946</v>
      </c>
      <c r="AX41" s="103">
        <f t="shared" si="92"/>
        <v>7211</v>
      </c>
      <c r="AY41" s="103">
        <f t="shared" si="92"/>
        <v>7476</v>
      </c>
      <c r="AZ41" s="103">
        <f t="shared" si="92"/>
        <v>7741</v>
      </c>
      <c r="BA41" s="103">
        <f t="shared" si="92"/>
        <v>8006</v>
      </c>
      <c r="BB41" s="103">
        <f>BA41</f>
        <v>8006</v>
      </c>
      <c r="BC41" s="259"/>
      <c r="BD41" s="259"/>
      <c r="BE41" s="259"/>
      <c r="BF41" s="259"/>
      <c r="BG41" s="259"/>
      <c r="BH41" s="259"/>
      <c r="BI41" s="259"/>
      <c r="BJ41" s="259"/>
      <c r="BK41" s="259"/>
      <c r="BL41" s="259"/>
      <c r="BM41" s="259"/>
      <c r="BN41" s="259"/>
      <c r="BO41" s="259"/>
      <c r="BP41" s="259"/>
      <c r="BQ41" s="259"/>
      <c r="BR41" s="259"/>
      <c r="BS41" s="259"/>
      <c r="BT41" s="259"/>
      <c r="BU41" s="259"/>
      <c r="BV41" s="259"/>
      <c r="BW41" s="11"/>
    </row>
    <row r="42" ht="12.0" customHeight="1">
      <c r="A42" s="108"/>
      <c r="B42" s="120" t="s">
        <v>125</v>
      </c>
      <c r="C42" s="121">
        <f t="shared" ref="C42:BB42" si="93">IFERROR(C40/C39,)</f>
        <v>0.04580645161</v>
      </c>
      <c r="D42" s="121">
        <f t="shared" si="93"/>
        <v>0.04724005135</v>
      </c>
      <c r="E42" s="121">
        <f t="shared" si="93"/>
        <v>0.04901084876</v>
      </c>
      <c r="F42" s="121">
        <f t="shared" si="93"/>
        <v>0.05076142132</v>
      </c>
      <c r="G42" s="121">
        <f t="shared" si="93"/>
        <v>0.05324921136</v>
      </c>
      <c r="H42" s="121">
        <f t="shared" si="93"/>
        <v>0.05570890841</v>
      </c>
      <c r="I42" s="121">
        <f t="shared" si="93"/>
        <v>0.05773067332</v>
      </c>
      <c r="J42" s="121">
        <f t="shared" si="93"/>
        <v>0.05885997522</v>
      </c>
      <c r="K42" s="121">
        <f t="shared" si="93"/>
        <v>0.05998770744</v>
      </c>
      <c r="L42" s="121">
        <f t="shared" si="93"/>
        <v>0.06069469835</v>
      </c>
      <c r="M42" s="121">
        <f t="shared" si="93"/>
        <v>0.0613897281</v>
      </c>
      <c r="N42" s="121">
        <f t="shared" si="93"/>
        <v>0.06277704565</v>
      </c>
      <c r="O42" s="121">
        <f t="shared" si="93"/>
        <v>0.06277704565</v>
      </c>
      <c r="P42" s="121">
        <f t="shared" si="93"/>
        <v>0.1316877288</v>
      </c>
      <c r="Q42" s="121">
        <f t="shared" si="93"/>
        <v>0.1328671329</v>
      </c>
      <c r="R42" s="121">
        <f t="shared" si="93"/>
        <v>0.1352313167</v>
      </c>
      <c r="S42" s="121">
        <f t="shared" si="93"/>
        <v>0.15263812</v>
      </c>
      <c r="T42" s="121">
        <f t="shared" si="93"/>
        <v>0.1525404926</v>
      </c>
      <c r="U42" s="121">
        <f t="shared" si="93"/>
        <v>0.1578603334</v>
      </c>
      <c r="V42" s="121">
        <f t="shared" si="93"/>
        <v>0.1772989119</v>
      </c>
      <c r="W42" s="121">
        <f t="shared" si="93"/>
        <v>0.1780028944</v>
      </c>
      <c r="X42" s="121">
        <f t="shared" si="93"/>
        <v>0.1845674671</v>
      </c>
      <c r="Y42" s="121">
        <f t="shared" si="93"/>
        <v>0.2204701273</v>
      </c>
      <c r="Z42" s="121">
        <f t="shared" si="93"/>
        <v>0.2317829457</v>
      </c>
      <c r="AA42" s="121">
        <f t="shared" si="93"/>
        <v>0.2365118022</v>
      </c>
      <c r="AB42" s="121">
        <f t="shared" si="93"/>
        <v>0.2365118022</v>
      </c>
      <c r="AC42" s="121">
        <f t="shared" si="93"/>
        <v>0.2344315545</v>
      </c>
      <c r="AD42" s="121">
        <f t="shared" si="93"/>
        <v>0.2214953271</v>
      </c>
      <c r="AE42" s="121">
        <f t="shared" si="93"/>
        <v>0.231865722</v>
      </c>
      <c r="AF42" s="121">
        <f t="shared" si="93"/>
        <v>0.2281610155</v>
      </c>
      <c r="AG42" s="121">
        <f t="shared" si="93"/>
        <v>0.2315957358</v>
      </c>
      <c r="AH42" s="121">
        <f t="shared" si="93"/>
        <v>0.2363269764</v>
      </c>
      <c r="AI42" s="121">
        <f t="shared" si="93"/>
        <v>0.2399200267</v>
      </c>
      <c r="AJ42" s="121">
        <f t="shared" si="93"/>
        <v>0.2321428571</v>
      </c>
      <c r="AK42" s="121">
        <f t="shared" si="93"/>
        <v>0.2335075927</v>
      </c>
      <c r="AL42" s="121">
        <f t="shared" si="93"/>
        <v>0.2584571609</v>
      </c>
      <c r="AM42" s="121">
        <f t="shared" si="93"/>
        <v>0.3190203819</v>
      </c>
      <c r="AN42" s="121">
        <f t="shared" si="93"/>
        <v>0.4253597122</v>
      </c>
      <c r="AO42" s="121">
        <f t="shared" si="93"/>
        <v>0.4253597122</v>
      </c>
      <c r="AP42" s="121">
        <f t="shared" si="93"/>
        <v>0.4582483063</v>
      </c>
      <c r="AQ42" s="121">
        <f t="shared" si="93"/>
        <v>0.4670054923</v>
      </c>
      <c r="AR42" s="121">
        <f t="shared" si="93"/>
        <v>0.4780524097</v>
      </c>
      <c r="AS42" s="121">
        <f t="shared" si="93"/>
        <v>0.474909211</v>
      </c>
      <c r="AT42" s="121">
        <f t="shared" si="93"/>
        <v>0.4783887573</v>
      </c>
      <c r="AU42" s="121">
        <f t="shared" si="93"/>
        <v>0.5034229829</v>
      </c>
      <c r="AV42" s="121" t="str">
        <f t="shared" si="93"/>
        <v/>
      </c>
      <c r="AW42" s="121" t="str">
        <f t="shared" si="93"/>
        <v/>
      </c>
      <c r="AX42" s="121" t="str">
        <f t="shared" si="93"/>
        <v/>
      </c>
      <c r="AY42" s="121" t="str">
        <f t="shared" si="93"/>
        <v/>
      </c>
      <c r="AZ42" s="121" t="str">
        <f t="shared" si="93"/>
        <v/>
      </c>
      <c r="BA42" s="121" t="str">
        <f t="shared" si="93"/>
        <v/>
      </c>
      <c r="BB42" s="121">
        <f t="shared" si="93"/>
        <v>0.5034229829</v>
      </c>
      <c r="BC42" s="259"/>
      <c r="BD42" s="259"/>
      <c r="BE42" s="259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259"/>
      <c r="BQ42" s="259"/>
      <c r="BR42" s="259"/>
      <c r="BS42" s="259"/>
      <c r="BT42" s="259"/>
      <c r="BU42" s="259"/>
      <c r="BV42" s="259"/>
      <c r="BW42" s="11"/>
    </row>
    <row r="43" ht="12.0" customHeight="1">
      <c r="A43" s="123"/>
      <c r="B43" s="124" t="s">
        <v>126</v>
      </c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03"/>
      <c r="P43" s="126">
        <f t="shared" ref="P43:AN43" si="94">P41/P38</f>
        <v>0.06767988601</v>
      </c>
      <c r="Q43" s="126">
        <f t="shared" si="94"/>
        <v>0.07514382999</v>
      </c>
      <c r="R43" s="126">
        <f t="shared" si="94"/>
        <v>0.08244310265</v>
      </c>
      <c r="S43" s="126">
        <f t="shared" si="94"/>
        <v>0.08958309406</v>
      </c>
      <c r="T43" s="126">
        <f t="shared" si="94"/>
        <v>0.0965689616</v>
      </c>
      <c r="U43" s="126">
        <f t="shared" si="94"/>
        <v>0.1034056424</v>
      </c>
      <c r="V43" s="126">
        <f t="shared" si="94"/>
        <v>0.1103471221</v>
      </c>
      <c r="W43" s="126">
        <f t="shared" si="94"/>
        <v>0.1176534968</v>
      </c>
      <c r="X43" s="126">
        <f t="shared" si="94"/>
        <v>0.1254441693</v>
      </c>
      <c r="Y43" s="126">
        <f t="shared" si="94"/>
        <v>0.1329871781</v>
      </c>
      <c r="Z43" s="126">
        <f t="shared" si="94"/>
        <v>0.1402941483</v>
      </c>
      <c r="AA43" s="126">
        <f t="shared" si="94"/>
        <v>0.1505906523</v>
      </c>
      <c r="AB43" s="126">
        <f t="shared" si="94"/>
        <v>0.1505906523</v>
      </c>
      <c r="AC43" s="126">
        <f t="shared" si="94"/>
        <v>0.1757423251</v>
      </c>
      <c r="AD43" s="126">
        <f t="shared" si="94"/>
        <v>0.199901332</v>
      </c>
      <c r="AE43" s="126">
        <f t="shared" si="94"/>
        <v>0.2231253024</v>
      </c>
      <c r="AF43" s="126">
        <f t="shared" si="94"/>
        <v>0.2454674893</v>
      </c>
      <c r="AG43" s="126">
        <f t="shared" si="94"/>
        <v>0.2669771775</v>
      </c>
      <c r="AH43" s="126">
        <f t="shared" si="94"/>
        <v>0.2877000457</v>
      </c>
      <c r="AI43" s="126">
        <f t="shared" si="94"/>
        <v>0.3076784912</v>
      </c>
      <c r="AJ43" s="126">
        <f t="shared" si="94"/>
        <v>0.3269519188</v>
      </c>
      <c r="AK43" s="126">
        <f t="shared" si="94"/>
        <v>0.3455570004</v>
      </c>
      <c r="AL43" s="126">
        <f t="shared" si="94"/>
        <v>0.363527908</v>
      </c>
      <c r="AM43" s="126">
        <f t="shared" si="94"/>
        <v>0.3808965228</v>
      </c>
      <c r="AN43" s="126">
        <f t="shared" si="94"/>
        <v>0.3976926246</v>
      </c>
      <c r="AO43" s="126">
        <f>AN43</f>
        <v>0.3976926246</v>
      </c>
      <c r="AP43" s="126">
        <f t="shared" ref="AP43:BB43" si="95">AP41/AP38</f>
        <v>0.4161013486</v>
      </c>
      <c r="AQ43" s="126">
        <f t="shared" si="95"/>
        <v>0.434211593</v>
      </c>
      <c r="AR43" s="126">
        <f t="shared" si="95"/>
        <v>0.4520305589</v>
      </c>
      <c r="AS43" s="126">
        <f t="shared" si="95"/>
        <v>0.4695652174</v>
      </c>
      <c r="AT43" s="126">
        <f t="shared" si="95"/>
        <v>0.486822319</v>
      </c>
      <c r="AU43" s="126">
        <f t="shared" si="95"/>
        <v>0.503808402</v>
      </c>
      <c r="AV43" s="126">
        <f t="shared" si="95"/>
        <v>0.5205298013</v>
      </c>
      <c r="AW43" s="126">
        <f t="shared" si="95"/>
        <v>0.5369926556</v>
      </c>
      <c r="AX43" s="126">
        <f t="shared" si="95"/>
        <v>0.5532029152</v>
      </c>
      <c r="AY43" s="126">
        <f t="shared" si="95"/>
        <v>0.5691663494</v>
      </c>
      <c r="AZ43" s="126">
        <f t="shared" si="95"/>
        <v>0.5848885531</v>
      </c>
      <c r="BA43" s="126">
        <f t="shared" si="95"/>
        <v>0.6003749531</v>
      </c>
      <c r="BB43" s="126">
        <f t="shared" si="95"/>
        <v>0.6003749531</v>
      </c>
      <c r="BC43" s="259"/>
      <c r="BD43" s="259"/>
      <c r="BE43" s="259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259"/>
      <c r="BQ43" s="259"/>
      <c r="BR43" s="259"/>
      <c r="BS43" s="259"/>
      <c r="BT43" s="259"/>
      <c r="BU43" s="259"/>
      <c r="BV43" s="259"/>
      <c r="BW43" s="11"/>
    </row>
    <row r="44" ht="15.75" customHeight="1">
      <c r="A44" s="127" t="s">
        <v>127</v>
      </c>
      <c r="B44" s="113" t="s">
        <v>128</v>
      </c>
      <c r="C44" s="128">
        <f>'SDDPL '!C44+Govind!C44+Parag!C44</f>
        <v>119</v>
      </c>
      <c r="D44" s="128">
        <f>'SDDPL '!D44+Govind!D44+Parag!D44</f>
        <v>159</v>
      </c>
      <c r="E44" s="128">
        <f>'SDDPL '!E44+Govind!E44+Parag!E44</f>
        <v>169</v>
      </c>
      <c r="F44" s="128">
        <f>'SDDPL '!F44+Govind!F44+Parag!F44</f>
        <v>179</v>
      </c>
      <c r="G44" s="128">
        <f>'SDDPL '!G44+Govind!G44+Parag!G44</f>
        <v>192</v>
      </c>
      <c r="H44" s="128">
        <f>'SDDPL '!H44+Govind!H44+Parag!H44</f>
        <v>206</v>
      </c>
      <c r="I44" s="128">
        <f>'SDDPL '!I44+Govind!I44+Parag!I44</f>
        <v>216</v>
      </c>
      <c r="J44" s="128">
        <f>'SDDPL '!J44+Govind!J44+Parag!J44</f>
        <v>223</v>
      </c>
      <c r="K44" s="128">
        <f>'SDDPL '!K44+Govind!K44+Parag!K44</f>
        <v>232</v>
      </c>
      <c r="L44" s="128">
        <f>'SDDPL '!L44+Govind!L44+Parag!L44</f>
        <v>241</v>
      </c>
      <c r="M44" s="128">
        <f>'SDDPL '!M44+Govind!M44+Parag!M44</f>
        <v>250</v>
      </c>
      <c r="N44" s="128">
        <f>'SDDPL '!N44+Govind!N44+Parag!N44</f>
        <v>267</v>
      </c>
      <c r="O44" s="181"/>
      <c r="P44" s="128">
        <f>'SDDPL '!P44+Govind!P44+Parag!P44</f>
        <v>293</v>
      </c>
      <c r="Q44" s="128">
        <f>'SDDPL '!Q44+Govind!Q44+Parag!Q44</f>
        <v>304</v>
      </c>
      <c r="R44" s="128">
        <f>'SDDPL '!R44+Govind!R44+Parag!R44</f>
        <v>323</v>
      </c>
      <c r="S44" s="128">
        <f>'SDDPL '!S44+Govind!S44+Parag!S44</f>
        <v>339</v>
      </c>
      <c r="T44" s="128">
        <f>'SDDPL '!T44+Govind!T44+Parag!T44</f>
        <v>344</v>
      </c>
      <c r="U44" s="128">
        <f>'SDDPL '!U44+Govind!U44+Parag!U44</f>
        <v>357</v>
      </c>
      <c r="V44" s="128">
        <f>'SDDPL '!V44+Govind!V44+Parag!V44</f>
        <v>372</v>
      </c>
      <c r="W44" s="128">
        <f>'SDDPL '!W44+Govind!W44+Parag!W44</f>
        <v>391</v>
      </c>
      <c r="X44" s="128">
        <f>'SDDPL '!X44+Govind!X44+Parag!X44</f>
        <v>406</v>
      </c>
      <c r="Y44" s="128">
        <f>'SDDPL '!Y44+Govind!Y44+Parag!Y44</f>
        <v>423</v>
      </c>
      <c r="Z44" s="128">
        <f>'SDDPL '!Z44+Govind!Z44+Parag!Z44</f>
        <v>439</v>
      </c>
      <c r="AA44" s="128">
        <f>'SDDPL '!AA44+Govind!AA44+Parag!AA44</f>
        <v>462</v>
      </c>
      <c r="AB44" s="181">
        <f>AA44</f>
        <v>462</v>
      </c>
      <c r="AC44" s="128">
        <f t="shared" ref="AC44:AN44" si="96">AA44+5</f>
        <v>467</v>
      </c>
      <c r="AD44" s="128">
        <f t="shared" si="96"/>
        <v>467</v>
      </c>
      <c r="AE44" s="128">
        <f t="shared" si="96"/>
        <v>472</v>
      </c>
      <c r="AF44" s="128">
        <f t="shared" si="96"/>
        <v>472</v>
      </c>
      <c r="AG44" s="128">
        <f t="shared" si="96"/>
        <v>477</v>
      </c>
      <c r="AH44" s="128">
        <f t="shared" si="96"/>
        <v>477</v>
      </c>
      <c r="AI44" s="128">
        <f t="shared" si="96"/>
        <v>482</v>
      </c>
      <c r="AJ44" s="128">
        <f t="shared" si="96"/>
        <v>482</v>
      </c>
      <c r="AK44" s="128">
        <f t="shared" si="96"/>
        <v>487</v>
      </c>
      <c r="AL44" s="128">
        <f t="shared" si="96"/>
        <v>487</v>
      </c>
      <c r="AM44" s="128">
        <f t="shared" si="96"/>
        <v>492</v>
      </c>
      <c r="AN44" s="128">
        <f t="shared" si="96"/>
        <v>492</v>
      </c>
      <c r="AO44" s="181"/>
      <c r="AP44" s="128"/>
      <c r="AQ44" s="128"/>
      <c r="AR44" s="128"/>
      <c r="AS44" s="128"/>
      <c r="AT44" s="128"/>
      <c r="AU44" s="128"/>
      <c r="AV44" s="128"/>
      <c r="AW44" s="128"/>
      <c r="AX44" s="128"/>
      <c r="AY44" s="128"/>
      <c r="AZ44" s="128"/>
      <c r="BA44" s="128"/>
      <c r="BB44" s="181"/>
      <c r="BC44" s="259"/>
      <c r="BD44" s="259"/>
      <c r="BE44" s="259"/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BP44" s="259"/>
      <c r="BQ44" s="259"/>
      <c r="BR44" s="259"/>
      <c r="BS44" s="259"/>
      <c r="BT44" s="259"/>
      <c r="BU44" s="259"/>
      <c r="BV44" s="259"/>
      <c r="BW44" s="269"/>
    </row>
    <row r="45" ht="18.0" customHeight="1">
      <c r="A45" s="108"/>
      <c r="B45" s="113" t="s">
        <v>129</v>
      </c>
      <c r="C45" s="128">
        <f>'SDDPL '!C45+Govind!C45+Parag!C45</f>
        <v>119.6</v>
      </c>
      <c r="D45" s="128">
        <f>'SDDPL '!D45+Govind!D45+Parag!D45</f>
        <v>146.2</v>
      </c>
      <c r="E45" s="128">
        <f>'SDDPL '!E45+Govind!E45+Parag!E45</f>
        <v>154.29</v>
      </c>
      <c r="F45" s="128">
        <f>'SDDPL '!F45+Govind!F45+Parag!F45</f>
        <v>160.96</v>
      </c>
      <c r="G45" s="128">
        <f>'SDDPL '!G45+Govind!G45+Parag!G45</f>
        <v>164.4</v>
      </c>
      <c r="H45" s="128">
        <f>'SDDPL '!H45+Govind!H45+Parag!H45</f>
        <v>169.24</v>
      </c>
      <c r="I45" s="128">
        <f>'SDDPL '!I45+Govind!I45+Parag!I45</f>
        <v>172.06</v>
      </c>
      <c r="J45" s="128">
        <f>'SDDPL '!J45+Govind!J45+Parag!J45</f>
        <v>175.4</v>
      </c>
      <c r="K45" s="128">
        <f>'SDDPL '!K45+Govind!K45+Parag!K45</f>
        <v>180.92</v>
      </c>
      <c r="L45" s="128">
        <f>'SDDPL '!L45+Govind!L45+Parag!L45</f>
        <v>187.4</v>
      </c>
      <c r="M45" s="128">
        <f>'SDDPL '!M45+Govind!M45+Parag!M45</f>
        <v>192.41</v>
      </c>
      <c r="N45" s="128">
        <f>'SDDPL '!N45+Govind!N45+Parag!N45</f>
        <v>203</v>
      </c>
      <c r="O45" s="181">
        <f>N45</f>
        <v>203</v>
      </c>
      <c r="P45" s="128">
        <f>'SDDPL '!P45+Govind!P45+Parag!P45</f>
        <v>236</v>
      </c>
      <c r="Q45" s="128">
        <f>'SDDPL '!Q45+Govind!Q45+Parag!Q45</f>
        <v>244</v>
      </c>
      <c r="R45" s="128">
        <f>'SDDPL '!R45+Govind!R45+Parag!R45</f>
        <v>257</v>
      </c>
      <c r="S45" s="128">
        <f>'SDDPL '!S45+Govind!S45+Parag!S45</f>
        <v>262</v>
      </c>
      <c r="T45" s="128">
        <f>'SDDPL '!T45+Govind!T45+Parag!T45</f>
        <v>266</v>
      </c>
      <c r="U45" s="128">
        <f>'SDDPL '!U45+Govind!U45+Parag!U45</f>
        <v>268</v>
      </c>
      <c r="V45" s="128">
        <f>'SDDPL '!V45+Govind!V45+Parag!V45</f>
        <v>262</v>
      </c>
      <c r="W45" s="128">
        <f>'SDDPL '!W45+Govind!W45+Parag!W45</f>
        <v>287</v>
      </c>
      <c r="X45" s="128">
        <f>'SDDPL '!X45+Govind!X45+Parag!X45</f>
        <v>305</v>
      </c>
      <c r="Y45" s="128">
        <f>'SDDPL '!Y45+Govind!Y45+Parag!Y45</f>
        <v>331</v>
      </c>
      <c r="Z45" s="128">
        <f>'SDDPL '!Z45+Govind!Z45+Parag!Z45</f>
        <v>372</v>
      </c>
      <c r="AA45" s="128">
        <f>'SDDPL '!AA45+Govind!AA45+Parag!AA45</f>
        <v>394</v>
      </c>
      <c r="AB45" s="181">
        <f>'SDDPL '!AB45+Govind!AB45+Parag!AB45</f>
        <v>394</v>
      </c>
      <c r="AC45" s="128">
        <f>'SDDPL '!AC45+Govind!AC45+Parag!AC45</f>
        <v>413</v>
      </c>
      <c r="AD45" s="128">
        <f>'SDDPL '!AD45+Govind!AD45+Parag!AD45</f>
        <v>424</v>
      </c>
      <c r="AE45" s="128">
        <f>'SDDPL '!AE45+Govind!AE45+Parag!AE45</f>
        <v>441</v>
      </c>
      <c r="AF45" s="128">
        <f>'SDDPL '!AF45+Govind!AF45+Parag!AF45</f>
        <v>466</v>
      </c>
      <c r="AG45" s="128">
        <f>'SDDPL '!AG45+Govind!AG45+Parag!AG45</f>
        <v>495</v>
      </c>
      <c r="AH45" s="128">
        <f>'SDDPL '!AH45+Govind!AH45+Parag!AH45</f>
        <v>531</v>
      </c>
      <c r="AI45" s="128">
        <f>'SDDPL '!AI45+Govind!AI45+Parag!AI45</f>
        <v>551</v>
      </c>
      <c r="AJ45" s="128">
        <f>'SDDPL '!AJ45+Govind!AJ45+Parag!AJ45</f>
        <v>578</v>
      </c>
      <c r="AK45" s="128">
        <f>'SDDPL '!AK45+Govind!AK45+Parag!AK45</f>
        <v>586</v>
      </c>
      <c r="AL45" s="128">
        <f>'SDDPL '!AL45+Govind!AL45+Parag!AL45</f>
        <v>602</v>
      </c>
      <c r="AM45" s="128">
        <f>'SDDPL '!AM45+Govind!AM45+Parag!AM45</f>
        <v>620</v>
      </c>
      <c r="AN45" s="128">
        <f>'SDDPL '!AN45+Govind!AN45+Parag!AN45</f>
        <v>634</v>
      </c>
      <c r="AO45" s="181">
        <f t="shared" ref="AO45:AO46" si="97">AN45</f>
        <v>634</v>
      </c>
      <c r="AP45" s="128">
        <f>'SDDPL '!AP45+Govind!AP45+Parag!AP45</f>
        <v>649</v>
      </c>
      <c r="AQ45" s="128">
        <f>'SDDPL '!AQ45+Govind!AQ45+Parag!AQ45</f>
        <v>658</v>
      </c>
      <c r="AR45" s="128">
        <f>'SDDPL '!AR45+Govind!AR45+Parag!AR45</f>
        <v>677</v>
      </c>
      <c r="AS45" s="128">
        <f>'SDDPL '!AS45+Govind!AS45+Parag!AS45</f>
        <v>685</v>
      </c>
      <c r="AT45" s="128">
        <f>'SDDPL '!AT45+Govind!AT45+Parag!AT45</f>
        <v>702</v>
      </c>
      <c r="AU45" s="128">
        <f>'SDDPL '!AU45+Govind!AU45+Parag!AU45</f>
        <v>752</v>
      </c>
      <c r="AV45" s="128">
        <f>'SDDPL '!AV45+Govind!AV45+Parag!AV45</f>
        <v>0</v>
      </c>
      <c r="AW45" s="128">
        <f>'SDDPL '!AW45+Govind!AW45+Parag!AW45</f>
        <v>0</v>
      </c>
      <c r="AX45" s="128">
        <f>'SDDPL '!AX45+Govind!AX45+Parag!AX45</f>
        <v>0</v>
      </c>
      <c r="AY45" s="128" t="s">
        <v>171</v>
      </c>
      <c r="AZ45" s="128">
        <f>'SDDPL '!AZ45+Govind!AZ45+Parag!AZ45</f>
        <v>0</v>
      </c>
      <c r="BA45" s="128">
        <f>'SDDPL '!BA45+Govind!BA45+Parag!BA45</f>
        <v>0</v>
      </c>
      <c r="BB45" s="181">
        <f>AU45</f>
        <v>752</v>
      </c>
      <c r="BC45" s="13"/>
      <c r="BD45" s="259"/>
      <c r="BE45" s="259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BP45" s="259"/>
      <c r="BQ45" s="259"/>
      <c r="BR45" s="259"/>
      <c r="BS45" s="259"/>
      <c r="BT45" s="259"/>
      <c r="BU45" s="259"/>
      <c r="BV45" s="259"/>
      <c r="BW45" s="269"/>
    </row>
    <row r="46" ht="12.0" customHeight="1">
      <c r="A46" s="108"/>
      <c r="B46" s="133" t="s">
        <v>130</v>
      </c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03"/>
      <c r="P46" s="134">
        <f>'SDDPL '!P46+Govind!P46+Parag!P46</f>
        <v>218</v>
      </c>
      <c r="Q46" s="134">
        <f>'SDDPL '!Q46+Govind!Q46+Parag!Q46</f>
        <v>250</v>
      </c>
      <c r="R46" s="134">
        <f>'SDDPL '!R46+Govind!R46+Parag!R46</f>
        <v>258</v>
      </c>
      <c r="S46" s="134">
        <f>'SDDPL '!S46+Govind!S46+Parag!S46</f>
        <v>268</v>
      </c>
      <c r="T46" s="134">
        <f>'SDDPL '!T46+Govind!T46+Parag!T46</f>
        <v>274</v>
      </c>
      <c r="U46" s="134">
        <f>'SDDPL '!U46+Govind!U46+Parag!U46</f>
        <v>279</v>
      </c>
      <c r="V46" s="134">
        <f>'SDDPL '!V46+Govind!V46+Parag!V46</f>
        <v>294</v>
      </c>
      <c r="W46" s="134">
        <f>'SDDPL '!W46+Govind!W46+Parag!W46</f>
        <v>297</v>
      </c>
      <c r="X46" s="134">
        <f>'SDDPL '!X46+Govind!X46+Parag!X46</f>
        <v>320</v>
      </c>
      <c r="Y46" s="134">
        <f>'SDDPL '!Y46+Govind!Y46+Parag!Y46</f>
        <v>333</v>
      </c>
      <c r="Z46" s="134">
        <f>'SDDPL '!Z46+Govind!Z46+Parag!Z46</f>
        <v>350</v>
      </c>
      <c r="AA46" s="134">
        <f>'SDDPL '!AA46+Govind!AA46+Parag!AA46</f>
        <v>368</v>
      </c>
      <c r="AB46" s="134">
        <f>'SDDPL '!AB46+Govind!AB46+Parag!AB46</f>
        <v>368</v>
      </c>
      <c r="AC46" s="134">
        <f>'SDDPL '!AC46+Govind!AC46+Parag!AC46</f>
        <v>385</v>
      </c>
      <c r="AD46" s="134">
        <f>'SDDPL '!AD46+Govind!AD46+Parag!AD46</f>
        <v>402</v>
      </c>
      <c r="AE46" s="134">
        <f>'SDDPL '!AE46+Govind!AE46+Parag!AE46</f>
        <v>419</v>
      </c>
      <c r="AF46" s="134">
        <f>'SDDPL '!AF46+Govind!AF46+Parag!AF46</f>
        <v>434</v>
      </c>
      <c r="AG46" s="134">
        <f>'SDDPL '!AG46+Govind!AG46+Parag!AG46</f>
        <v>450</v>
      </c>
      <c r="AH46" s="134">
        <f>'SDDPL '!AH46+Govind!AH46+Parag!AH46</f>
        <v>466</v>
      </c>
      <c r="AI46" s="134">
        <f>'SDDPL '!AI46+Govind!AI46+Parag!AI46</f>
        <v>482</v>
      </c>
      <c r="AJ46" s="134">
        <f>'SDDPL '!AJ46+Govind!AJ46+Parag!AJ46</f>
        <v>498</v>
      </c>
      <c r="AK46" s="134">
        <f>'SDDPL '!AK46+Govind!AK46+Parag!AK46</f>
        <v>514</v>
      </c>
      <c r="AL46" s="134">
        <f>'SDDPL '!AL46+Govind!AL46+Parag!AL46</f>
        <v>530</v>
      </c>
      <c r="AM46" s="134">
        <f>'SDDPL '!AM46+Govind!AM46+Parag!AM46</f>
        <v>546</v>
      </c>
      <c r="AN46" s="134">
        <f>'SDDPL '!AN46+Govind!AN46+Parag!AN46</f>
        <v>563</v>
      </c>
      <c r="AO46" s="134">
        <f t="shared" si="97"/>
        <v>563</v>
      </c>
      <c r="AP46" s="134">
        <f t="shared" ref="AP46:AZ46" si="98">AO46+13</f>
        <v>576</v>
      </c>
      <c r="AQ46" s="134">
        <f t="shared" si="98"/>
        <v>589</v>
      </c>
      <c r="AR46" s="134">
        <f t="shared" si="98"/>
        <v>602</v>
      </c>
      <c r="AS46" s="134">
        <f t="shared" si="98"/>
        <v>615</v>
      </c>
      <c r="AT46" s="134">
        <f t="shared" si="98"/>
        <v>628</v>
      </c>
      <c r="AU46" s="134">
        <f t="shared" si="98"/>
        <v>641</v>
      </c>
      <c r="AV46" s="134">
        <f t="shared" si="98"/>
        <v>654</v>
      </c>
      <c r="AW46" s="134">
        <f t="shared" si="98"/>
        <v>667</v>
      </c>
      <c r="AX46" s="134">
        <f t="shared" si="98"/>
        <v>680</v>
      </c>
      <c r="AY46" s="134">
        <f t="shared" si="98"/>
        <v>693</v>
      </c>
      <c r="AZ46" s="134">
        <f t="shared" si="98"/>
        <v>706</v>
      </c>
      <c r="BA46" s="134">
        <f>AZ46+17</f>
        <v>723</v>
      </c>
      <c r="BB46" s="134">
        <f>BA46</f>
        <v>723</v>
      </c>
      <c r="BC46" s="259"/>
      <c r="BD46" s="259"/>
      <c r="BE46" s="259"/>
      <c r="BF46" s="259"/>
      <c r="BG46" s="259"/>
      <c r="BH46" s="259"/>
      <c r="BI46" s="259"/>
      <c r="BJ46" s="259"/>
      <c r="BK46" s="259"/>
      <c r="BL46" s="259"/>
      <c r="BM46" s="259"/>
      <c r="BN46" s="259"/>
      <c r="BO46" s="259"/>
      <c r="BP46" s="259"/>
      <c r="BQ46" s="259"/>
      <c r="BR46" s="259"/>
      <c r="BS46" s="259"/>
      <c r="BT46" s="259"/>
      <c r="BU46" s="259"/>
      <c r="BV46" s="259"/>
      <c r="BW46" s="11"/>
      <c r="BX46" s="11"/>
      <c r="BY46" s="11"/>
      <c r="BZ46" s="11"/>
      <c r="CA46" s="11"/>
      <c r="CB46" s="11"/>
      <c r="CC46" s="11"/>
      <c r="CD46" s="11"/>
    </row>
    <row r="47" ht="12.0" customHeight="1">
      <c r="A47" s="108"/>
      <c r="B47" s="120" t="s">
        <v>131</v>
      </c>
      <c r="C47" s="121">
        <f t="shared" ref="C47:N47" si="99">C45/C44</f>
        <v>1.005042017</v>
      </c>
      <c r="D47" s="121">
        <f t="shared" si="99"/>
        <v>0.9194968553</v>
      </c>
      <c r="E47" s="121">
        <f t="shared" si="99"/>
        <v>0.9129585799</v>
      </c>
      <c r="F47" s="121">
        <f t="shared" si="99"/>
        <v>0.8992178771</v>
      </c>
      <c r="G47" s="121">
        <f t="shared" si="99"/>
        <v>0.85625</v>
      </c>
      <c r="H47" s="121">
        <f t="shared" si="99"/>
        <v>0.8215533981</v>
      </c>
      <c r="I47" s="121">
        <f t="shared" si="99"/>
        <v>0.7965740741</v>
      </c>
      <c r="J47" s="121">
        <f t="shared" si="99"/>
        <v>0.7865470852</v>
      </c>
      <c r="K47" s="121">
        <f t="shared" si="99"/>
        <v>0.7798275862</v>
      </c>
      <c r="L47" s="121">
        <f t="shared" si="99"/>
        <v>0.777593361</v>
      </c>
      <c r="M47" s="121">
        <f t="shared" si="99"/>
        <v>0.76964</v>
      </c>
      <c r="N47" s="121">
        <f t="shared" si="99"/>
        <v>0.7602996255</v>
      </c>
      <c r="O47" s="110"/>
      <c r="P47" s="121">
        <f t="shared" ref="P47:AC47" si="100">P45/P44</f>
        <v>0.8054607509</v>
      </c>
      <c r="Q47" s="121">
        <f t="shared" si="100"/>
        <v>0.8026315789</v>
      </c>
      <c r="R47" s="121">
        <f t="shared" si="100"/>
        <v>0.7956656347</v>
      </c>
      <c r="S47" s="121">
        <f t="shared" si="100"/>
        <v>0.7728613569</v>
      </c>
      <c r="T47" s="121">
        <f t="shared" si="100"/>
        <v>0.773255814</v>
      </c>
      <c r="U47" s="121">
        <f t="shared" si="100"/>
        <v>0.7507002801</v>
      </c>
      <c r="V47" s="121">
        <f t="shared" si="100"/>
        <v>0.7043010753</v>
      </c>
      <c r="W47" s="121">
        <f t="shared" si="100"/>
        <v>0.7340153453</v>
      </c>
      <c r="X47" s="121">
        <f t="shared" si="100"/>
        <v>0.7512315271</v>
      </c>
      <c r="Y47" s="121">
        <f t="shared" si="100"/>
        <v>0.7825059102</v>
      </c>
      <c r="Z47" s="121">
        <f t="shared" si="100"/>
        <v>0.84738041</v>
      </c>
      <c r="AA47" s="121">
        <f t="shared" si="100"/>
        <v>0.8528138528</v>
      </c>
      <c r="AB47" s="121">
        <f t="shared" si="100"/>
        <v>0.8528138528</v>
      </c>
      <c r="AC47" s="121">
        <f t="shared" si="100"/>
        <v>0.8843683084</v>
      </c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21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  <c r="BA47" s="136"/>
      <c r="BB47" s="121"/>
      <c r="BC47" s="259"/>
      <c r="BD47" s="259"/>
      <c r="BE47" s="259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BP47" s="259"/>
      <c r="BQ47" s="259"/>
      <c r="BR47" s="259"/>
      <c r="BS47" s="259"/>
      <c r="BT47" s="259"/>
      <c r="BU47" s="259"/>
      <c r="BV47" s="259"/>
      <c r="BW47" s="11"/>
      <c r="BX47" s="11"/>
      <c r="BY47" s="11"/>
      <c r="BZ47" s="11"/>
      <c r="CA47" s="11"/>
      <c r="CB47" s="11"/>
      <c r="CC47" s="11"/>
      <c r="CD47" s="11"/>
    </row>
    <row r="48" ht="12.0" customHeight="1">
      <c r="A48" s="123"/>
      <c r="B48" s="124" t="s">
        <v>132</v>
      </c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103"/>
      <c r="P48" s="88">
        <f t="shared" ref="P48:AA48" si="101">P46/P44</f>
        <v>0.7440273038</v>
      </c>
      <c r="Q48" s="88">
        <f t="shared" si="101"/>
        <v>0.8223684211</v>
      </c>
      <c r="R48" s="88">
        <f t="shared" si="101"/>
        <v>0.7987616099</v>
      </c>
      <c r="S48" s="88">
        <f t="shared" si="101"/>
        <v>0.790560472</v>
      </c>
      <c r="T48" s="88">
        <f t="shared" si="101"/>
        <v>0.7965116279</v>
      </c>
      <c r="U48" s="88">
        <f t="shared" si="101"/>
        <v>0.781512605</v>
      </c>
      <c r="V48" s="88">
        <f t="shared" si="101"/>
        <v>0.7903225806</v>
      </c>
      <c r="W48" s="88">
        <f t="shared" si="101"/>
        <v>0.7595907928</v>
      </c>
      <c r="X48" s="88">
        <f t="shared" si="101"/>
        <v>0.7881773399</v>
      </c>
      <c r="Y48" s="88">
        <f t="shared" si="101"/>
        <v>0.7872340426</v>
      </c>
      <c r="Z48" s="88">
        <f t="shared" si="101"/>
        <v>0.7972665148</v>
      </c>
      <c r="AA48" s="88">
        <f t="shared" si="101"/>
        <v>0.7965367965</v>
      </c>
      <c r="AB48" s="88"/>
      <c r="AC48" s="88">
        <f t="shared" ref="AC48:AN48" si="102">AC46/AC44</f>
        <v>0.8244111349</v>
      </c>
      <c r="AD48" s="88">
        <f t="shared" si="102"/>
        <v>0.8608137045</v>
      </c>
      <c r="AE48" s="88">
        <f t="shared" si="102"/>
        <v>0.8877118644</v>
      </c>
      <c r="AF48" s="88">
        <f t="shared" si="102"/>
        <v>0.9194915254</v>
      </c>
      <c r="AG48" s="88">
        <f t="shared" si="102"/>
        <v>0.9433962264</v>
      </c>
      <c r="AH48" s="88">
        <f t="shared" si="102"/>
        <v>0.9769392034</v>
      </c>
      <c r="AI48" s="88">
        <f t="shared" si="102"/>
        <v>1</v>
      </c>
      <c r="AJ48" s="88">
        <f t="shared" si="102"/>
        <v>1.033195021</v>
      </c>
      <c r="AK48" s="88">
        <f t="shared" si="102"/>
        <v>1.055441478</v>
      </c>
      <c r="AL48" s="88">
        <f t="shared" si="102"/>
        <v>1.088295688</v>
      </c>
      <c r="AM48" s="88">
        <f t="shared" si="102"/>
        <v>1.109756098</v>
      </c>
      <c r="AN48" s="88">
        <f t="shared" si="102"/>
        <v>1.144308943</v>
      </c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259"/>
      <c r="BD48" s="259"/>
      <c r="BE48" s="259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BP48" s="259"/>
      <c r="BQ48" s="259"/>
      <c r="BR48" s="259"/>
      <c r="BS48" s="259"/>
      <c r="BT48" s="259"/>
      <c r="BU48" s="259"/>
      <c r="BV48" s="259"/>
      <c r="BW48" s="11"/>
      <c r="BX48" s="11"/>
      <c r="BY48" s="11"/>
      <c r="BZ48" s="11"/>
      <c r="CA48" s="11"/>
      <c r="CB48" s="11"/>
      <c r="CC48" s="11"/>
      <c r="CD48" s="11"/>
    </row>
    <row r="49" ht="12.0" customHeight="1">
      <c r="A49" s="11"/>
      <c r="B49" s="23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259"/>
      <c r="BD49" s="259"/>
      <c r="BE49" s="259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BP49" s="259"/>
      <c r="BQ49" s="259"/>
      <c r="BR49" s="259"/>
      <c r="BS49" s="259"/>
      <c r="BT49" s="259"/>
      <c r="BU49" s="259"/>
      <c r="BV49" s="259"/>
      <c r="BW49" s="11"/>
      <c r="BX49" s="11"/>
      <c r="BY49" s="11"/>
      <c r="BZ49" s="11"/>
      <c r="CA49" s="11"/>
      <c r="CB49" s="11"/>
      <c r="CC49" s="11"/>
      <c r="CD49" s="11"/>
    </row>
    <row r="50" ht="12.0" customHeight="1">
      <c r="A50" s="11"/>
      <c r="B50" s="36" t="s">
        <v>133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73"/>
      <c r="AP50" s="37">
        <f>SUM(Parag!AP50+Govind!AP50+'SDDPL '!AP50)</f>
        <v>0</v>
      </c>
      <c r="AQ50" s="37">
        <f>SUM(Parag!AQ50+Govind!AQ50+'SDDPL '!AQ50)</f>
        <v>0</v>
      </c>
      <c r="AR50" s="37">
        <f>SUM(Parag!AR50+Govind!AR50+'SDDPL '!AR50)</f>
        <v>0</v>
      </c>
      <c r="AS50" s="37">
        <f>SUM(Parag!AS50+Govind!AS50+'SDDPL '!AS50)</f>
        <v>0</v>
      </c>
      <c r="AT50" s="37">
        <f>SUM(Parag!AT50+Govind!AT50+'SDDPL '!AT50)</f>
        <v>0</v>
      </c>
      <c r="AU50" s="37">
        <f>SUM(Parag!AU50+Govind!AU50+'SDDPL '!AU50)</f>
        <v>0</v>
      </c>
      <c r="AV50" s="37">
        <f>SUM(Parag!AV50+Govind!AV50+'SDDPL '!AV50)</f>
        <v>0</v>
      </c>
      <c r="AW50" s="37">
        <f>SUM(Parag!AW50+Govind!AW50+'SDDPL '!AW50)</f>
        <v>0</v>
      </c>
      <c r="AX50" s="37">
        <f>SUM(Parag!AX50+Govind!AX50+'SDDPL '!AX50)</f>
        <v>0</v>
      </c>
      <c r="AY50" s="37">
        <f>SUM(Parag!AY50+Govind!AY50+'SDDPL '!AY50)</f>
        <v>0</v>
      </c>
      <c r="AZ50" s="37">
        <f>SUM(Parag!AZ50+Govind!AZ50+'SDDPL '!AZ50)</f>
        <v>0</v>
      </c>
      <c r="BA50" s="37">
        <f>SUM(Parag!BA50+Govind!BA50+'SDDPL '!BA50)</f>
        <v>0</v>
      </c>
      <c r="BB50" s="73">
        <f t="shared" ref="BB50:BB52" si="103">SUM(AP50:BA50)</f>
        <v>0</v>
      </c>
      <c r="BC50" s="259"/>
      <c r="BD50" s="259"/>
      <c r="BE50" s="259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BP50" s="259"/>
      <c r="BQ50" s="259"/>
      <c r="BR50" s="259"/>
      <c r="BS50" s="259"/>
      <c r="BT50" s="259"/>
      <c r="BU50" s="259"/>
      <c r="BV50" s="259"/>
      <c r="BW50" s="11"/>
      <c r="BX50" s="11"/>
      <c r="BY50" s="11"/>
      <c r="BZ50" s="11"/>
      <c r="CA50" s="11"/>
      <c r="CB50" s="11"/>
      <c r="CC50" s="11"/>
      <c r="CD50" s="11"/>
    </row>
    <row r="51" ht="12.0" customHeight="1">
      <c r="A51" s="11"/>
      <c r="B51" s="36" t="s">
        <v>134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73"/>
      <c r="AP51" s="37">
        <f>SUM(Parag!AP51+Govind!AP51+'SDDPL '!AP51)</f>
        <v>0</v>
      </c>
      <c r="AQ51" s="37">
        <f>SUM(Parag!AQ51+Govind!AQ51+'SDDPL '!AQ51)</f>
        <v>0</v>
      </c>
      <c r="AR51" s="37">
        <f>SUM(Parag!AR51+Govind!AR51+'SDDPL '!AR51)</f>
        <v>0</v>
      </c>
      <c r="AS51" s="37">
        <f>SUM(Parag!AS51+Govind!AS51+'SDDPL '!AS51)</f>
        <v>0</v>
      </c>
      <c r="AT51" s="37">
        <f>SUM(Parag!AT51+Govind!AT51+'SDDPL '!AT51)</f>
        <v>0</v>
      </c>
      <c r="AU51" s="37">
        <f>SUM(Parag!AU51+Govind!AU51+'SDDPL '!AU51)</f>
        <v>0</v>
      </c>
      <c r="AV51" s="37">
        <f>SUM(Parag!AV51+Govind!AV51+'SDDPL '!AV51)</f>
        <v>0</v>
      </c>
      <c r="AW51" s="37">
        <f>SUM(Parag!AW51+Govind!AW51+'SDDPL '!AW51)</f>
        <v>0</v>
      </c>
      <c r="AX51" s="37">
        <f>SUM(Parag!AX51+Govind!AX51+'SDDPL '!AX51)</f>
        <v>0</v>
      </c>
      <c r="AY51" s="37">
        <f>SUM(Parag!AY51+Govind!AY51+'SDDPL '!AY51)</f>
        <v>0</v>
      </c>
      <c r="AZ51" s="37">
        <f>SUM(Parag!AZ51+Govind!AZ51+'SDDPL '!AZ51)</f>
        <v>0</v>
      </c>
      <c r="BA51" s="37">
        <f>SUM(Parag!BA51+Govind!BA51+'SDDPL '!BA51)</f>
        <v>0</v>
      </c>
      <c r="BB51" s="73">
        <f t="shared" si="103"/>
        <v>0</v>
      </c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</row>
    <row r="52" ht="12.0" customHeight="1">
      <c r="A52" s="11"/>
      <c r="B52" s="36" t="s">
        <v>135</v>
      </c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73"/>
      <c r="AP52" s="37">
        <f>SUM(Parag!AP52+Govind!AP52+'SDDPL '!AP52)</f>
        <v>0</v>
      </c>
      <c r="AQ52" s="37">
        <f>SUM(Parag!AQ52+Govind!AQ52+'SDDPL '!AQ52)</f>
        <v>0</v>
      </c>
      <c r="AR52" s="37">
        <f>SUM(Parag!AR52+Govind!AR52+'SDDPL '!AR52)</f>
        <v>0</v>
      </c>
      <c r="AS52" s="37">
        <f>SUM(Parag!AS52+Govind!AS52+'SDDPL '!AS52)</f>
        <v>0</v>
      </c>
      <c r="AT52" s="37">
        <f>SUM(Parag!AT52+Govind!AT52+'SDDPL '!AT52)</f>
        <v>0</v>
      </c>
      <c r="AU52" s="37">
        <f>SUM(Parag!AU52+Govind!AU52+'SDDPL '!AU52)</f>
        <v>0</v>
      </c>
      <c r="AV52" s="37">
        <f>SUM(Parag!AV52+Govind!AV52+'SDDPL '!AV52)</f>
        <v>0</v>
      </c>
      <c r="AW52" s="37">
        <f>SUM(Parag!AW52+Govind!AW52+'SDDPL '!AW52)</f>
        <v>0</v>
      </c>
      <c r="AX52" s="37">
        <f>SUM(Parag!AX52+Govind!AX52+'SDDPL '!AX52)</f>
        <v>0</v>
      </c>
      <c r="AY52" s="37">
        <f>SUM(Parag!AY52+Govind!AY52+'SDDPL '!AY52)</f>
        <v>0</v>
      </c>
      <c r="AZ52" s="37">
        <f>SUM(Parag!AZ52+Govind!AZ52+'SDDPL '!AZ52)</f>
        <v>0</v>
      </c>
      <c r="BA52" s="37">
        <f>SUM(Parag!BA52+Govind!BA52+'SDDPL '!BA52)</f>
        <v>0</v>
      </c>
      <c r="BB52" s="73">
        <f t="shared" si="103"/>
        <v>0</v>
      </c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</row>
    <row r="53" ht="12.0" customHeight="1">
      <c r="A53" s="11"/>
      <c r="B53" s="23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</row>
    <row r="54" ht="12.0" customHeight="1">
      <c r="A54" s="11"/>
      <c r="B54" s="23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</row>
    <row r="55" ht="12.0" customHeight="1">
      <c r="A55" s="11"/>
      <c r="B55" s="23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</row>
    <row r="56" ht="12.0" customHeight="1">
      <c r="A56" s="11"/>
      <c r="B56" s="23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</row>
    <row r="57" ht="12.0" customHeight="1">
      <c r="A57" s="11"/>
      <c r="B57" s="23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</row>
    <row r="58" ht="12.0" customHeight="1">
      <c r="A58" s="11"/>
      <c r="B58" s="23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</row>
    <row r="59" ht="12.0" customHeight="1">
      <c r="A59" s="11"/>
      <c r="B59" s="23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</row>
    <row r="60" ht="12.0" customHeight="1">
      <c r="A60" s="11"/>
      <c r="B60" s="23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</row>
    <row r="61" ht="12.0" customHeight="1">
      <c r="A61" s="11"/>
      <c r="B61" s="23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</row>
    <row r="62" ht="12.0" customHeight="1">
      <c r="A62" s="11"/>
      <c r="B62" s="23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</row>
    <row r="63" ht="12.0" customHeight="1">
      <c r="A63" s="11"/>
      <c r="B63" s="2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</row>
    <row r="64" ht="12.0" customHeight="1">
      <c r="A64" s="11"/>
      <c r="B64" s="23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</row>
    <row r="65" ht="12.0" customHeight="1">
      <c r="A65" s="11"/>
      <c r="B65" s="23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</row>
    <row r="66" ht="12.0" customHeight="1">
      <c r="A66" s="11"/>
      <c r="B66" s="23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</row>
    <row r="67" ht="12.0" customHeight="1">
      <c r="A67" s="11"/>
      <c r="B67" s="2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</row>
    <row r="68" ht="12.0" customHeight="1">
      <c r="A68" s="11"/>
      <c r="B68" s="23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</row>
    <row r="69" ht="12.0" customHeight="1">
      <c r="A69" s="11"/>
      <c r="B69" s="23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</row>
    <row r="70" ht="12.0" customHeight="1">
      <c r="A70" s="11"/>
      <c r="B70" s="23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</row>
    <row r="71" ht="12.0" customHeight="1">
      <c r="A71" s="11"/>
      <c r="B71" s="23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</row>
    <row r="72" ht="12.0" customHeight="1">
      <c r="A72" s="11"/>
      <c r="B72" s="23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</row>
    <row r="73" ht="12.0" customHeight="1">
      <c r="A73" s="11"/>
      <c r="B73" s="2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</row>
    <row r="74" ht="12.0" customHeight="1">
      <c r="A74" s="11"/>
      <c r="B74" s="23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</row>
    <row r="75" ht="12.0" customHeight="1">
      <c r="A75" s="11"/>
      <c r="B75" s="23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</row>
    <row r="76" ht="12.0" customHeight="1">
      <c r="A76" s="11"/>
      <c r="B76" s="23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</row>
    <row r="77" ht="12.0" customHeight="1">
      <c r="A77" s="11"/>
      <c r="B77" s="23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</row>
    <row r="78" ht="12.0" customHeight="1">
      <c r="A78" s="11"/>
      <c r="B78" s="2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</row>
    <row r="79" ht="12.0" customHeight="1">
      <c r="A79" s="11"/>
      <c r="B79" s="23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</row>
    <row r="80" ht="12.0" customHeight="1">
      <c r="A80" s="11"/>
      <c r="B80" s="23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</row>
    <row r="81" ht="12.0" customHeight="1">
      <c r="A81" s="11"/>
      <c r="B81" s="23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</row>
    <row r="82" ht="12.0" customHeight="1">
      <c r="A82" s="11"/>
      <c r="B82" s="23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</row>
    <row r="83" ht="12.0" customHeight="1">
      <c r="A83" s="11"/>
      <c r="B83" s="23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</row>
    <row r="84" ht="12.0" customHeight="1">
      <c r="A84" s="11"/>
      <c r="B84" s="23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</row>
    <row r="85" ht="12.0" customHeight="1">
      <c r="A85" s="11"/>
      <c r="B85" s="23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</row>
    <row r="86" ht="12.0" customHeight="1">
      <c r="A86" s="11"/>
      <c r="B86" s="23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</row>
    <row r="87" ht="12.0" customHeight="1">
      <c r="A87" s="11"/>
      <c r="B87" s="23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</row>
    <row r="88" ht="12.0" customHeight="1">
      <c r="A88" s="11"/>
      <c r="B88" s="23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</row>
    <row r="89" ht="12.0" customHeight="1">
      <c r="A89" s="11"/>
      <c r="B89" s="23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</row>
    <row r="90" ht="12.0" customHeight="1">
      <c r="A90" s="11"/>
      <c r="B90" s="23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</row>
    <row r="91" ht="12.0" customHeight="1">
      <c r="A91" s="11"/>
      <c r="B91" s="2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</row>
    <row r="92" ht="12.0" customHeight="1">
      <c r="A92" s="11"/>
      <c r="B92" s="23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</row>
    <row r="93" ht="12.0" customHeight="1">
      <c r="A93" s="11"/>
      <c r="B93" s="23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</row>
    <row r="94" ht="12.0" customHeight="1">
      <c r="A94" s="11"/>
      <c r="B94" s="23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</row>
    <row r="95" ht="12.0" customHeight="1">
      <c r="A95" s="11"/>
      <c r="B95" s="23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</row>
    <row r="96" ht="12.0" customHeight="1">
      <c r="A96" s="11"/>
      <c r="B96" s="23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</row>
    <row r="97" ht="12.0" customHeight="1">
      <c r="A97" s="11"/>
      <c r="B97" s="23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</row>
    <row r="98" ht="12.0" customHeight="1">
      <c r="A98" s="11"/>
      <c r="B98" s="23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</row>
    <row r="99" ht="12.0" customHeight="1">
      <c r="A99" s="11"/>
      <c r="B99" s="23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</row>
    <row r="100" ht="12.0" customHeight="1">
      <c r="A100" s="11"/>
      <c r="B100" s="23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</row>
    <row r="101" ht="12.0" customHeight="1">
      <c r="A101" s="11"/>
      <c r="B101" s="23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</row>
    <row r="102" ht="12.0" customHeight="1">
      <c r="A102" s="11"/>
      <c r="B102" s="23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</row>
    <row r="103" ht="12.0" customHeight="1">
      <c r="A103" s="11"/>
      <c r="B103" s="23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</row>
    <row r="104" ht="12.0" customHeight="1">
      <c r="A104" s="11"/>
      <c r="B104" s="23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</row>
    <row r="105" ht="12.0" customHeight="1">
      <c r="A105" s="11"/>
      <c r="B105" s="23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</row>
    <row r="106" ht="12.0" customHeight="1">
      <c r="A106" s="11"/>
      <c r="B106" s="23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</row>
    <row r="107" ht="12.0" customHeight="1">
      <c r="A107" s="11"/>
      <c r="B107" s="23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</row>
    <row r="108" ht="12.0" customHeight="1">
      <c r="A108" s="11"/>
      <c r="B108" s="23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</row>
    <row r="109" ht="12.0" customHeight="1">
      <c r="A109" s="11"/>
      <c r="B109" s="23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</row>
    <row r="110" ht="12.0" customHeight="1">
      <c r="A110" s="11"/>
      <c r="B110" s="23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</row>
    <row r="111" ht="12.0" customHeight="1">
      <c r="A111" s="11"/>
      <c r="B111" s="23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</row>
    <row r="112" ht="12.0" customHeight="1">
      <c r="A112" s="11"/>
      <c r="B112" s="23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</row>
    <row r="113" ht="12.0" customHeight="1">
      <c r="A113" s="11"/>
      <c r="B113" s="23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</row>
    <row r="114" ht="12.0" customHeight="1">
      <c r="A114" s="11"/>
      <c r="B114" s="23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</row>
    <row r="115" ht="12.0" customHeight="1">
      <c r="A115" s="11"/>
      <c r="B115" s="23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</row>
    <row r="116" ht="12.0" customHeight="1">
      <c r="A116" s="11"/>
      <c r="B116" s="23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</row>
    <row r="117" ht="12.0" customHeight="1">
      <c r="A117" s="11"/>
      <c r="B117" s="23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</row>
    <row r="118" ht="12.0" customHeight="1">
      <c r="A118" s="11"/>
      <c r="B118" s="23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</row>
    <row r="119" ht="12.0" customHeight="1">
      <c r="A119" s="11"/>
      <c r="B119" s="23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</row>
    <row r="120" ht="12.0" customHeight="1">
      <c r="A120" s="11"/>
      <c r="B120" s="23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</row>
    <row r="121" ht="12.0" customHeight="1">
      <c r="A121" s="11"/>
      <c r="B121" s="23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</row>
    <row r="122" ht="12.0" customHeight="1">
      <c r="A122" s="11"/>
      <c r="B122" s="23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</row>
    <row r="123" ht="12.0" customHeight="1">
      <c r="A123" s="11"/>
      <c r="B123" s="23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</row>
    <row r="124" ht="12.0" customHeight="1">
      <c r="A124" s="11"/>
      <c r="B124" s="23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</row>
    <row r="125" ht="12.0" customHeight="1">
      <c r="A125" s="11"/>
      <c r="B125" s="23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</row>
    <row r="126" ht="12.0" customHeight="1">
      <c r="A126" s="11"/>
      <c r="B126" s="23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</row>
    <row r="127" ht="12.0" customHeight="1">
      <c r="A127" s="11"/>
      <c r="B127" s="23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</row>
    <row r="128" ht="12.0" customHeight="1">
      <c r="A128" s="11"/>
      <c r="B128" s="23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</row>
    <row r="129" ht="12.0" customHeight="1">
      <c r="A129" s="11"/>
      <c r="B129" s="23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</row>
    <row r="130" ht="12.0" customHeight="1">
      <c r="A130" s="11"/>
      <c r="B130" s="23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</row>
    <row r="131" ht="12.0" customHeight="1">
      <c r="A131" s="11"/>
      <c r="B131" s="23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</row>
    <row r="132" ht="12.0" customHeight="1">
      <c r="A132" s="11"/>
      <c r="B132" s="23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</row>
    <row r="133" ht="12.0" customHeight="1">
      <c r="A133" s="11"/>
      <c r="B133" s="23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</row>
    <row r="134" ht="12.0" customHeight="1">
      <c r="A134" s="11"/>
      <c r="B134" s="23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</row>
    <row r="135" ht="12.0" customHeight="1">
      <c r="A135" s="11"/>
      <c r="B135" s="23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</row>
    <row r="136" ht="12.0" customHeight="1">
      <c r="A136" s="11"/>
      <c r="B136" s="23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</row>
    <row r="137" ht="12.0" customHeight="1">
      <c r="A137" s="11"/>
      <c r="B137" s="23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</row>
    <row r="138" ht="12.0" customHeight="1">
      <c r="A138" s="11"/>
      <c r="B138" s="23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</row>
    <row r="139" ht="12.0" customHeight="1">
      <c r="A139" s="11"/>
      <c r="B139" s="23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</row>
    <row r="140" ht="12.0" customHeight="1">
      <c r="A140" s="11"/>
      <c r="B140" s="23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</row>
    <row r="141" ht="12.0" customHeight="1">
      <c r="A141" s="11"/>
      <c r="B141" s="23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</row>
    <row r="142" ht="12.0" customHeight="1">
      <c r="A142" s="11"/>
      <c r="B142" s="23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</row>
    <row r="143" ht="12.0" customHeight="1">
      <c r="A143" s="11"/>
      <c r="B143" s="23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</row>
    <row r="144" ht="12.0" customHeight="1">
      <c r="A144" s="11"/>
      <c r="B144" s="23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</row>
    <row r="145" ht="12.0" customHeight="1">
      <c r="A145" s="11"/>
      <c r="B145" s="23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</row>
    <row r="146" ht="12.0" customHeight="1">
      <c r="A146" s="11"/>
      <c r="B146" s="23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</row>
    <row r="147" ht="12.0" customHeight="1">
      <c r="A147" s="11"/>
      <c r="B147" s="23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</row>
    <row r="148" ht="12.0" customHeight="1">
      <c r="A148" s="11"/>
      <c r="B148" s="23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</row>
    <row r="149" ht="12.0" customHeight="1">
      <c r="A149" s="11"/>
      <c r="B149" s="23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</row>
    <row r="150" ht="12.0" customHeight="1">
      <c r="A150" s="11"/>
      <c r="B150" s="23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</row>
    <row r="151" ht="12.0" customHeight="1">
      <c r="A151" s="11"/>
      <c r="B151" s="23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</row>
    <row r="152" ht="12.0" customHeight="1">
      <c r="A152" s="11"/>
      <c r="B152" s="23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</row>
    <row r="153" ht="12.0" customHeight="1">
      <c r="A153" s="11"/>
      <c r="B153" s="23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</row>
    <row r="154" ht="12.0" customHeight="1">
      <c r="A154" s="11"/>
      <c r="B154" s="23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</row>
    <row r="155" ht="12.0" customHeight="1">
      <c r="A155" s="11"/>
      <c r="B155" s="23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</row>
    <row r="156" ht="12.0" customHeight="1">
      <c r="A156" s="11"/>
      <c r="B156" s="23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</row>
    <row r="157" ht="12.0" customHeight="1">
      <c r="A157" s="11"/>
      <c r="B157" s="23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</row>
    <row r="158" ht="12.0" customHeight="1">
      <c r="A158" s="11"/>
      <c r="B158" s="23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</row>
    <row r="159" ht="12.0" customHeight="1">
      <c r="A159" s="11"/>
      <c r="B159" s="23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</row>
    <row r="160" ht="12.0" customHeight="1">
      <c r="A160" s="11"/>
      <c r="B160" s="23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</row>
    <row r="161" ht="12.0" customHeight="1">
      <c r="A161" s="11"/>
      <c r="B161" s="23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</row>
    <row r="162" ht="12.0" customHeight="1">
      <c r="A162" s="11"/>
      <c r="B162" s="23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</row>
    <row r="163" ht="12.0" customHeight="1">
      <c r="A163" s="11"/>
      <c r="B163" s="23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</row>
    <row r="164" ht="12.0" customHeight="1">
      <c r="A164" s="11"/>
      <c r="B164" s="23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</row>
    <row r="165" ht="12.0" customHeight="1">
      <c r="A165" s="11"/>
      <c r="B165" s="23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</row>
    <row r="166" ht="12.0" customHeight="1">
      <c r="A166" s="11"/>
      <c r="B166" s="23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</row>
    <row r="167" ht="12.0" customHeight="1">
      <c r="A167" s="11"/>
      <c r="B167" s="23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</row>
    <row r="168" ht="12.0" customHeight="1">
      <c r="A168" s="11"/>
      <c r="B168" s="23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</row>
    <row r="169" ht="12.0" customHeight="1">
      <c r="A169" s="11"/>
      <c r="B169" s="23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</row>
    <row r="170" ht="12.0" customHeight="1">
      <c r="A170" s="11"/>
      <c r="B170" s="23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</row>
    <row r="171" ht="12.0" customHeight="1">
      <c r="A171" s="11"/>
      <c r="B171" s="23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</row>
    <row r="172" ht="12.0" customHeight="1">
      <c r="A172" s="11"/>
      <c r="B172" s="23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</row>
    <row r="173" ht="12.0" customHeight="1">
      <c r="A173" s="11"/>
      <c r="B173" s="23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</row>
    <row r="174" ht="12.0" customHeight="1">
      <c r="A174" s="11"/>
      <c r="B174" s="23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</row>
    <row r="175" ht="12.0" customHeight="1">
      <c r="A175" s="11"/>
      <c r="B175" s="23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</row>
    <row r="176" ht="12.0" customHeight="1">
      <c r="A176" s="11"/>
      <c r="B176" s="23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</row>
    <row r="177" ht="12.0" customHeight="1">
      <c r="A177" s="11"/>
      <c r="B177" s="23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</row>
    <row r="178" ht="12.0" customHeight="1">
      <c r="A178" s="11"/>
      <c r="B178" s="23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</row>
    <row r="179" ht="12.0" customHeight="1">
      <c r="A179" s="11"/>
      <c r="B179" s="23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</row>
    <row r="180" ht="12.0" customHeight="1">
      <c r="A180" s="11"/>
      <c r="B180" s="23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</row>
    <row r="181" ht="12.0" customHeight="1">
      <c r="A181" s="11"/>
      <c r="B181" s="23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</row>
    <row r="182" ht="12.0" customHeight="1">
      <c r="A182" s="11"/>
      <c r="B182" s="23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</row>
    <row r="183" ht="12.0" customHeight="1">
      <c r="A183" s="11"/>
      <c r="B183" s="23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</row>
    <row r="184" ht="12.0" customHeight="1">
      <c r="A184" s="11"/>
      <c r="B184" s="23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</row>
    <row r="185" ht="12.0" customHeight="1">
      <c r="A185" s="11"/>
      <c r="B185" s="23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</row>
    <row r="186" ht="12.0" customHeight="1">
      <c r="A186" s="11"/>
      <c r="B186" s="23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</row>
    <row r="187" ht="12.0" customHeight="1">
      <c r="A187" s="11"/>
      <c r="B187" s="23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</row>
    <row r="188" ht="12.0" customHeight="1">
      <c r="A188" s="11"/>
      <c r="B188" s="23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</row>
    <row r="189" ht="12.0" customHeight="1">
      <c r="A189" s="11"/>
      <c r="B189" s="23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</row>
    <row r="190" ht="12.0" customHeight="1">
      <c r="A190" s="11"/>
      <c r="B190" s="23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</row>
    <row r="191" ht="12.0" customHeight="1">
      <c r="A191" s="11"/>
      <c r="B191" s="23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</row>
    <row r="192" ht="12.0" customHeight="1">
      <c r="A192" s="11"/>
      <c r="B192" s="23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</row>
    <row r="193" ht="12.0" customHeight="1">
      <c r="A193" s="11"/>
      <c r="B193" s="23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</row>
    <row r="194" ht="12.0" customHeight="1">
      <c r="A194" s="11"/>
      <c r="B194" s="23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</row>
    <row r="195" ht="12.0" customHeight="1">
      <c r="A195" s="11"/>
      <c r="B195" s="23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</row>
    <row r="196" ht="12.0" customHeight="1">
      <c r="A196" s="11"/>
      <c r="B196" s="23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</row>
    <row r="197" ht="12.0" customHeight="1">
      <c r="A197" s="11"/>
      <c r="B197" s="23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</row>
    <row r="198" ht="12.0" customHeight="1">
      <c r="A198" s="11"/>
      <c r="B198" s="23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</row>
    <row r="199" ht="12.0" customHeight="1">
      <c r="A199" s="11"/>
      <c r="B199" s="23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</row>
    <row r="200" ht="12.0" customHeight="1">
      <c r="A200" s="11"/>
      <c r="B200" s="23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</row>
    <row r="201" ht="12.0" customHeight="1">
      <c r="A201" s="11"/>
      <c r="B201" s="23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</row>
    <row r="202" ht="12.0" customHeight="1">
      <c r="A202" s="11"/>
      <c r="B202" s="23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</row>
    <row r="203" ht="12.0" customHeight="1">
      <c r="A203" s="11"/>
      <c r="B203" s="23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</row>
    <row r="204" ht="12.0" customHeight="1">
      <c r="A204" s="11"/>
      <c r="B204" s="23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</row>
    <row r="205" ht="12.0" customHeight="1">
      <c r="A205" s="11"/>
      <c r="B205" s="23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</row>
    <row r="206" ht="12.0" customHeight="1">
      <c r="A206" s="11"/>
      <c r="B206" s="23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</row>
    <row r="207" ht="12.0" customHeight="1">
      <c r="A207" s="11"/>
      <c r="B207" s="23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</row>
    <row r="208" ht="12.0" customHeight="1">
      <c r="A208" s="11"/>
      <c r="B208" s="23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</row>
    <row r="209" ht="12.0" customHeight="1">
      <c r="A209" s="11"/>
      <c r="B209" s="23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</row>
    <row r="210" ht="12.0" customHeight="1">
      <c r="A210" s="11"/>
      <c r="B210" s="23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</row>
    <row r="211" ht="12.0" customHeight="1">
      <c r="A211" s="11"/>
      <c r="B211" s="23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</row>
    <row r="212" ht="12.0" customHeight="1">
      <c r="A212" s="11"/>
      <c r="B212" s="23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</row>
    <row r="213" ht="12.0" customHeight="1">
      <c r="A213" s="11"/>
      <c r="B213" s="23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</row>
    <row r="214" ht="12.0" customHeight="1">
      <c r="A214" s="11"/>
      <c r="B214" s="23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</row>
    <row r="215" ht="12.0" customHeight="1">
      <c r="A215" s="11"/>
      <c r="B215" s="23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</row>
    <row r="216" ht="12.0" customHeight="1">
      <c r="A216" s="11"/>
      <c r="B216" s="23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</row>
    <row r="217" ht="12.0" customHeight="1">
      <c r="A217" s="11"/>
      <c r="B217" s="23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</row>
    <row r="218" ht="12.0" customHeight="1">
      <c r="A218" s="11"/>
      <c r="B218" s="23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</row>
    <row r="219" ht="12.0" customHeight="1">
      <c r="A219" s="11"/>
      <c r="B219" s="23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</row>
    <row r="220" ht="12.0" customHeight="1">
      <c r="A220" s="11"/>
      <c r="B220" s="23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</row>
    <row r="221" ht="12.0" customHeight="1">
      <c r="A221" s="11"/>
      <c r="B221" s="23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</row>
    <row r="222" ht="12.0" customHeight="1">
      <c r="A222" s="11"/>
      <c r="B222" s="23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</row>
    <row r="223" ht="12.0" customHeight="1">
      <c r="A223" s="11"/>
      <c r="B223" s="23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</row>
    <row r="224" ht="12.0" customHeight="1">
      <c r="A224" s="11"/>
      <c r="B224" s="23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</row>
    <row r="225" ht="12.0" customHeight="1">
      <c r="A225" s="11"/>
      <c r="B225" s="23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</row>
    <row r="226" ht="12.0" customHeight="1">
      <c r="A226" s="11"/>
      <c r="B226" s="23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</row>
    <row r="227" ht="12.0" customHeight="1">
      <c r="A227" s="11"/>
      <c r="B227" s="23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</row>
    <row r="228" ht="12.0" customHeight="1">
      <c r="A228" s="11"/>
      <c r="B228" s="23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</row>
    <row r="229" ht="12.0" customHeight="1">
      <c r="A229" s="11"/>
      <c r="B229" s="23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</row>
    <row r="230" ht="12.0" customHeight="1">
      <c r="A230" s="11"/>
      <c r="B230" s="23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</row>
    <row r="231" ht="12.0" customHeight="1">
      <c r="A231" s="11"/>
      <c r="B231" s="23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</row>
    <row r="232" ht="12.0" customHeight="1">
      <c r="A232" s="11"/>
      <c r="B232" s="23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</row>
    <row r="233" ht="12.0" customHeight="1">
      <c r="A233" s="11"/>
      <c r="B233" s="23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</row>
    <row r="234" ht="12.0" customHeight="1">
      <c r="A234" s="11"/>
      <c r="B234" s="23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</row>
    <row r="235" ht="12.0" customHeight="1">
      <c r="A235" s="11"/>
      <c r="B235" s="23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</row>
    <row r="236" ht="12.0" customHeight="1">
      <c r="A236" s="11"/>
      <c r="B236" s="23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</row>
    <row r="237" ht="12.0" customHeight="1">
      <c r="A237" s="11"/>
      <c r="B237" s="23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</row>
    <row r="238" ht="12.0" customHeight="1">
      <c r="A238" s="11"/>
      <c r="B238" s="23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</row>
    <row r="239" ht="12.0" customHeight="1">
      <c r="A239" s="11"/>
      <c r="B239" s="23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</row>
    <row r="240" ht="12.0" customHeight="1">
      <c r="A240" s="11"/>
      <c r="B240" s="23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</row>
    <row r="241" ht="12.0" customHeight="1">
      <c r="A241" s="11"/>
      <c r="B241" s="23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</row>
    <row r="242" ht="12.0" customHeight="1">
      <c r="A242" s="11"/>
      <c r="B242" s="23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</row>
    <row r="243" ht="12.0" customHeight="1">
      <c r="A243" s="11"/>
      <c r="B243" s="23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</row>
    <row r="244" ht="12.0" customHeight="1">
      <c r="A244" s="11"/>
      <c r="B244" s="23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</row>
    <row r="245" ht="12.0" customHeight="1">
      <c r="A245" s="11"/>
      <c r="B245" s="23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</row>
    <row r="246" ht="12.0" customHeight="1">
      <c r="A246" s="11"/>
      <c r="B246" s="23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</row>
    <row r="247" ht="12.0" customHeight="1">
      <c r="A247" s="11"/>
      <c r="B247" s="23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</row>
    <row r="248" ht="12.0" customHeight="1">
      <c r="A248" s="11"/>
      <c r="B248" s="23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</row>
    <row r="249" ht="12.0" customHeight="1">
      <c r="A249" s="11"/>
      <c r="B249" s="23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</row>
    <row r="250" ht="12.0" customHeight="1">
      <c r="A250" s="11"/>
      <c r="B250" s="23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</row>
    <row r="251" ht="12.0" customHeight="1">
      <c r="A251" s="11"/>
      <c r="B251" s="23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</row>
    <row r="252" ht="12.0" customHeight="1">
      <c r="A252" s="11"/>
      <c r="B252" s="23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1:A15"/>
    <mergeCell ref="A28:A32"/>
    <mergeCell ref="A38:A43"/>
    <mergeCell ref="A44:A4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5" width="9.57"/>
    <col customWidth="1" min="6" max="6" width="10.71"/>
    <col customWidth="1" min="7" max="26" width="8.71"/>
  </cols>
  <sheetData>
    <row r="2">
      <c r="D2" s="267">
        <v>2024.0</v>
      </c>
    </row>
    <row r="3">
      <c r="C3" s="267" t="s">
        <v>62</v>
      </c>
      <c r="D3" s="266">
        <v>0.85</v>
      </c>
    </row>
    <row r="4">
      <c r="C4" s="267" t="s">
        <v>172</v>
      </c>
      <c r="D4" s="270">
        <f>SUM('ALL DP'!P12:AA12)</f>
        <v>75406704.83</v>
      </c>
      <c r="E4" s="270">
        <f>SUM('ALL DP'!AC12:AG12)</f>
        <v>35822659.57</v>
      </c>
      <c r="F4" s="270">
        <f t="shared" ref="F4:F5" si="1">E4+D4</f>
        <v>111229364.4</v>
      </c>
    </row>
    <row r="5">
      <c r="C5" s="267" t="s">
        <v>173</v>
      </c>
      <c r="D5" s="270">
        <f>SUM('ALL DP'!P29:AA29)</f>
        <v>53978520.76</v>
      </c>
      <c r="E5" s="270">
        <f>SUM('ALL DP'!AC29:AG29)</f>
        <v>31810586.35</v>
      </c>
      <c r="F5" s="270">
        <f t="shared" si="1"/>
        <v>85789107.12</v>
      </c>
    </row>
    <row r="6">
      <c r="F6" s="266">
        <f>F5/F4</f>
        <v>0.7712811053</v>
      </c>
    </row>
    <row r="8">
      <c r="E8" s="266">
        <f>E5/E4</f>
        <v>0.8880018049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</cp:coreProperties>
</file>