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https://drexel0.sharepoint.com/sites/SE630Group1/Shared Documents/General/"/>
    </mc:Choice>
  </mc:AlternateContent>
  <xr:revisionPtr revIDLastSave="4635" documentId="11_51174DBCDD133713437D847C1D6400FF3CED4083" xr6:coauthVersionLast="47" xr6:coauthVersionMax="47" xr10:uidLastSave="{BFE35C3D-959F-4C06-9264-8D27BFAC4559}"/>
  <bookViews>
    <workbookView xWindow="-108" yWindow="-108" windowWidth="23256" windowHeight="12456" tabRatio="855" activeTab="5" xr2:uid="{00000000-000D-0000-FFFF-FFFF00000000}"/>
  </bookViews>
  <sheets>
    <sheet name="Proposal 1 WBS" sheetId="1" r:id="rId1"/>
    <sheet name="Proposal 1 Resources" sheetId="4" r:id="rId2"/>
    <sheet name="P1 Loan" sheetId="17" r:id="rId3"/>
    <sheet name="P1 Income" sheetId="7" r:id="rId4"/>
    <sheet name="P1 Expenses" sheetId="8" r:id="rId5"/>
    <sheet name="P1 Cash Flow" sheetId="9" r:id="rId6"/>
    <sheet name="P1 Present Worth" sheetId="10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8" l="1"/>
  <c r="B1" i="17"/>
  <c r="C2" i="9" s="1"/>
  <c r="E7" i="9"/>
  <c r="E8" i="9"/>
  <c r="E9" i="9"/>
  <c r="E10" i="9"/>
  <c r="E12" i="9"/>
  <c r="C3" i="7"/>
  <c r="F9" i="8"/>
  <c r="D2" i="7"/>
  <c r="E2" i="7" s="1"/>
  <c r="B2" i="9" s="1"/>
  <c r="C3" i="10"/>
  <c r="C4" i="10"/>
  <c r="C5" i="10"/>
  <c r="C6" i="10"/>
  <c r="C7" i="10"/>
  <c r="C8" i="10"/>
  <c r="C9" i="10"/>
  <c r="C10" i="10"/>
  <c r="C11" i="10"/>
  <c r="C12" i="10"/>
  <c r="C2" i="10"/>
  <c r="G107" i="1"/>
  <c r="G106" i="1"/>
  <c r="G102" i="1"/>
  <c r="G91" i="1"/>
  <c r="G90" i="1"/>
  <c r="C3" i="4"/>
  <c r="B3" i="4" s="1"/>
  <c r="F5" i="8"/>
  <c r="H5" i="8" s="1"/>
  <c r="J5" i="8" s="1"/>
  <c r="N6" i="8"/>
  <c r="L20" i="8" s="1"/>
  <c r="F7" i="8"/>
  <c r="H7" i="8" s="1"/>
  <c r="J7" i="8" s="1"/>
  <c r="L7" i="8" s="1"/>
  <c r="N7" i="8" s="1"/>
  <c r="D21" i="8" s="1"/>
  <c r="F21" i="8" s="1"/>
  <c r="H21" i="8" s="1"/>
  <c r="J21" i="8" s="1"/>
  <c r="L21" i="8" s="1"/>
  <c r="F111" i="1"/>
  <c r="C5" i="4"/>
  <c r="B5" i="4"/>
  <c r="C11" i="4"/>
  <c r="B11" i="4"/>
  <c r="C4" i="4"/>
  <c r="C6" i="4"/>
  <c r="B6" i="4" s="1"/>
  <c r="C7" i="4"/>
  <c r="C8" i="4"/>
  <c r="C10" i="4"/>
  <c r="C2" i="4"/>
  <c r="B4" i="4"/>
  <c r="B7" i="4"/>
  <c r="B8" i="4"/>
  <c r="B9" i="4"/>
  <c r="B10" i="4"/>
  <c r="B2" i="4"/>
  <c r="B3" i="7" l="1"/>
  <c r="L5" i="8"/>
  <c r="G18" i="1"/>
  <c r="G17" i="1" s="1"/>
  <c r="G104" i="1"/>
  <c r="G103" i="1"/>
  <c r="G78" i="1"/>
  <c r="G77" i="1"/>
  <c r="G76" i="1" s="1"/>
  <c r="G11" i="1"/>
  <c r="G12" i="1"/>
  <c r="G13" i="1"/>
  <c r="G14" i="1"/>
  <c r="G15" i="1"/>
  <c r="G16" i="1"/>
  <c r="G10" i="1"/>
  <c r="G9" i="1" s="1"/>
  <c r="G88" i="1"/>
  <c r="G87" i="1"/>
  <c r="G86" i="1" s="1"/>
  <c r="G28" i="1"/>
  <c r="G29" i="1"/>
  <c r="G30" i="1"/>
  <c r="G31" i="1"/>
  <c r="G32" i="1"/>
  <c r="G33" i="1"/>
  <c r="G35" i="1"/>
  <c r="G36" i="1"/>
  <c r="G37" i="1"/>
  <c r="G24" i="1"/>
  <c r="G25" i="1"/>
  <c r="G26" i="1"/>
  <c r="G23" i="1"/>
  <c r="G99" i="1"/>
  <c r="G100" i="1"/>
  <c r="G81" i="1"/>
  <c r="G75" i="1"/>
  <c r="G74" i="1"/>
  <c r="G70" i="1"/>
  <c r="G69" i="1"/>
  <c r="G65" i="1"/>
  <c r="G64" i="1"/>
  <c r="G60" i="1"/>
  <c r="G59" i="1"/>
  <c r="G55" i="1"/>
  <c r="G54" i="1"/>
  <c r="G50" i="1"/>
  <c r="G49" i="1"/>
  <c r="G45" i="1"/>
  <c r="G44" i="1"/>
  <c r="G101" i="1"/>
  <c r="G97" i="1"/>
  <c r="G96" i="1"/>
  <c r="G95" i="1" s="1"/>
  <c r="G43" i="1"/>
  <c r="G47" i="1"/>
  <c r="G48" i="1"/>
  <c r="G52" i="1"/>
  <c r="G53" i="1"/>
  <c r="G57" i="1"/>
  <c r="G58" i="1"/>
  <c r="G62" i="1"/>
  <c r="G63" i="1"/>
  <c r="G67" i="1"/>
  <c r="G68" i="1"/>
  <c r="G72" i="1"/>
  <c r="G73" i="1"/>
  <c r="G42" i="1"/>
  <c r="G41" i="1" s="1"/>
  <c r="G105" i="1"/>
  <c r="G89" i="1"/>
  <c r="G80" i="1"/>
  <c r="G82" i="1"/>
  <c r="G5" i="1"/>
  <c r="G6" i="1"/>
  <c r="G7" i="1"/>
  <c r="G8" i="1"/>
  <c r="G4" i="1"/>
  <c r="G3" i="1" s="1"/>
  <c r="D3" i="7" l="1"/>
  <c r="C4" i="7"/>
  <c r="E3" i="7"/>
  <c r="N5" i="8"/>
  <c r="H2" i="1"/>
  <c r="G22" i="1"/>
  <c r="G71" i="1"/>
  <c r="G66" i="1"/>
  <c r="G61" i="1"/>
  <c r="G56" i="1"/>
  <c r="G51" i="1"/>
  <c r="G46" i="1"/>
  <c r="G98" i="1"/>
  <c r="G34" i="1"/>
  <c r="G27" i="1"/>
  <c r="H21" i="1" s="1"/>
  <c r="H85" i="1"/>
  <c r="G79" i="1"/>
  <c r="H40" i="1" s="1"/>
  <c r="B3" i="9" l="1"/>
  <c r="B4" i="7"/>
  <c r="N13" i="8"/>
  <c r="D7" i="9" s="1"/>
  <c r="D19" i="8"/>
  <c r="H94" i="1"/>
  <c r="H113" i="1" s="1"/>
  <c r="C5" i="7" l="1"/>
  <c r="D4" i="7"/>
  <c r="E4" i="7" s="1"/>
  <c r="B7" i="17"/>
  <c r="B18" i="17"/>
  <c r="B4" i="17"/>
  <c r="D27" i="8"/>
  <c r="D8" i="9" s="1"/>
  <c r="F19" i="8"/>
  <c r="B5" i="7" l="1"/>
  <c r="B4" i="9"/>
  <c r="C7" i="17"/>
  <c r="D8" i="8" s="1"/>
  <c r="C78" i="17"/>
  <c r="C70" i="17"/>
  <c r="C9" i="17"/>
  <c r="C10" i="17"/>
  <c r="C11" i="17"/>
  <c r="C8" i="17"/>
  <c r="C67" i="17"/>
  <c r="C43" i="17"/>
  <c r="C55" i="17"/>
  <c r="C27" i="17"/>
  <c r="C74" i="17"/>
  <c r="C47" i="17"/>
  <c r="C23" i="17"/>
  <c r="C20" i="17"/>
  <c r="C35" i="17"/>
  <c r="C62" i="17"/>
  <c r="C77" i="17"/>
  <c r="C71" i="17"/>
  <c r="C24" i="17"/>
  <c r="C76" i="17"/>
  <c r="C64" i="17"/>
  <c r="C68" i="17"/>
  <c r="C72" i="17"/>
  <c r="C41" i="17"/>
  <c r="C21" i="17"/>
  <c r="C30" i="17"/>
  <c r="C61" i="17"/>
  <c r="C32" i="17"/>
  <c r="C46" i="17"/>
  <c r="C52" i="17"/>
  <c r="C48" i="17"/>
  <c r="C37" i="17"/>
  <c r="C56" i="17"/>
  <c r="C19" i="17"/>
  <c r="C18" i="17"/>
  <c r="C49" i="17"/>
  <c r="C28" i="17"/>
  <c r="C53" i="17"/>
  <c r="C33" i="17"/>
  <c r="C42" i="17"/>
  <c r="C34" i="17"/>
  <c r="C45" i="17"/>
  <c r="C66" i="17"/>
  <c r="C36" i="17"/>
  <c r="C25" i="17"/>
  <c r="C44" i="17"/>
  <c r="C51" i="17"/>
  <c r="C60" i="17"/>
  <c r="C75" i="17"/>
  <c r="C26" i="17"/>
  <c r="C69" i="17"/>
  <c r="C29" i="17"/>
  <c r="C38" i="17"/>
  <c r="C22" i="17"/>
  <c r="C58" i="17"/>
  <c r="C65" i="17"/>
  <c r="C31" i="17"/>
  <c r="C50" i="17"/>
  <c r="C63" i="17"/>
  <c r="C40" i="17"/>
  <c r="C59" i="17"/>
  <c r="C57" i="17"/>
  <c r="C54" i="17"/>
  <c r="C73" i="17"/>
  <c r="C39" i="17"/>
  <c r="E18" i="17"/>
  <c r="G18" i="17" s="1"/>
  <c r="F27" i="8"/>
  <c r="D9" i="9" s="1"/>
  <c r="H19" i="8"/>
  <c r="D13" i="8" l="1"/>
  <c r="D2" i="9" s="1"/>
  <c r="F8" i="8"/>
  <c r="D5" i="7"/>
  <c r="C6" i="7"/>
  <c r="E5" i="7"/>
  <c r="D18" i="17"/>
  <c r="J19" i="8"/>
  <c r="H27" i="8"/>
  <c r="D10" i="9" s="1"/>
  <c r="B2" i="10" l="1"/>
  <c r="D2" i="10" s="1"/>
  <c r="E2" i="9"/>
  <c r="H8" i="8"/>
  <c r="F13" i="8"/>
  <c r="D3" i="9" s="1"/>
  <c r="B6" i="7"/>
  <c r="B5" i="9"/>
  <c r="F18" i="17"/>
  <c r="H18" i="17"/>
  <c r="B19" i="17" s="1"/>
  <c r="D11" i="9"/>
  <c r="E11" i="9" s="1"/>
  <c r="L19" i="8"/>
  <c r="L27" i="8" s="1"/>
  <c r="D12" i="9" s="1"/>
  <c r="E3" i="9" l="1"/>
  <c r="B3" i="10" s="1"/>
  <c r="D3" i="10" s="1"/>
  <c r="J8" i="8"/>
  <c r="H13" i="8"/>
  <c r="D4" i="9" s="1"/>
  <c r="D6" i="7"/>
  <c r="E6" i="7" s="1"/>
  <c r="C7" i="7"/>
  <c r="E19" i="17"/>
  <c r="B4" i="10" l="1"/>
  <c r="D4" i="10" s="1"/>
  <c r="E4" i="9"/>
  <c r="L8" i="8"/>
  <c r="L13" i="8" s="1"/>
  <c r="D6" i="9" s="1"/>
  <c r="E6" i="9" s="1"/>
  <c r="J13" i="8"/>
  <c r="D5" i="9" s="1"/>
  <c r="B6" i="9"/>
  <c r="B7" i="7"/>
  <c r="G19" i="17"/>
  <c r="D19" i="17"/>
  <c r="B6" i="10" l="1"/>
  <c r="D6" i="10" s="1"/>
  <c r="E5" i="9"/>
  <c r="B5" i="10" s="1"/>
  <c r="D5" i="10" s="1"/>
  <c r="D7" i="7"/>
  <c r="E7" i="7" s="1"/>
  <c r="C8" i="7"/>
  <c r="H19" i="17"/>
  <c r="B20" i="17" s="1"/>
  <c r="F19" i="17"/>
  <c r="B8" i="7" l="1"/>
  <c r="B7" i="9"/>
  <c r="B7" i="10" s="1"/>
  <c r="D7" i="10" s="1"/>
  <c r="E20" i="17"/>
  <c r="D8" i="7" l="1"/>
  <c r="E8" i="7" s="1"/>
  <c r="C9" i="7"/>
  <c r="G20" i="17"/>
  <c r="D20" i="17"/>
  <c r="B8" i="9" l="1"/>
  <c r="B8" i="10" s="1"/>
  <c r="D8" i="10" s="1"/>
  <c r="B9" i="7"/>
  <c r="F20" i="17"/>
  <c r="H20" i="17"/>
  <c r="B21" i="17" s="1"/>
  <c r="C10" i="7" l="1"/>
  <c r="D9" i="7"/>
  <c r="E9" i="7" s="1"/>
  <c r="E21" i="17"/>
  <c r="B9" i="9" l="1"/>
  <c r="B9" i="10" s="1"/>
  <c r="D9" i="10" s="1"/>
  <c r="B10" i="7"/>
  <c r="G21" i="17"/>
  <c r="D21" i="17"/>
  <c r="C11" i="7" l="1"/>
  <c r="D10" i="7"/>
  <c r="E10" i="7" s="1"/>
  <c r="H21" i="17"/>
  <c r="B22" i="17" s="1"/>
  <c r="F21" i="17"/>
  <c r="B10" i="9" l="1"/>
  <c r="B10" i="10" s="1"/>
  <c r="D10" i="10" s="1"/>
  <c r="B11" i="7"/>
  <c r="E22" i="17"/>
  <c r="C12" i="7" l="1"/>
  <c r="D11" i="7"/>
  <c r="E11" i="7" s="1"/>
  <c r="G22" i="17"/>
  <c r="D22" i="17"/>
  <c r="B11" i="9" l="1"/>
  <c r="B11" i="10" s="1"/>
  <c r="D11" i="10" s="1"/>
  <c r="B12" i="7"/>
  <c r="F22" i="17"/>
  <c r="H22" i="17"/>
  <c r="B23" i="17" s="1"/>
  <c r="D12" i="7" l="1"/>
  <c r="E12" i="7" s="1"/>
  <c r="B12" i="9" s="1"/>
  <c r="B12" i="10" s="1"/>
  <c r="D12" i="10" s="1"/>
  <c r="D15" i="10" s="1"/>
  <c r="E23" i="17"/>
  <c r="G23" i="17" l="1"/>
  <c r="D23" i="17"/>
  <c r="H23" i="17" l="1"/>
  <c r="B24" i="17" s="1"/>
  <c r="F23" i="17"/>
  <c r="E24" i="17" l="1"/>
  <c r="G24" i="17" l="1"/>
  <c r="D24" i="17"/>
  <c r="F24" i="17" l="1"/>
  <c r="H24" i="17"/>
  <c r="B25" i="17" s="1"/>
  <c r="E25" i="17" l="1"/>
  <c r="G25" i="17" l="1"/>
  <c r="D25" i="17"/>
  <c r="H25" i="17" l="1"/>
  <c r="B26" i="17" s="1"/>
  <c r="F25" i="17"/>
  <c r="E26" i="17" l="1"/>
  <c r="G26" i="17" l="1"/>
  <c r="D26" i="17"/>
  <c r="F26" i="17" l="1"/>
  <c r="H26" i="17"/>
  <c r="B27" i="17" s="1"/>
  <c r="E27" i="17" l="1"/>
  <c r="G27" i="17" l="1"/>
  <c r="D27" i="17"/>
  <c r="H27" i="17" l="1"/>
  <c r="B28" i="17" s="1"/>
  <c r="F27" i="17"/>
  <c r="E28" i="17" l="1"/>
  <c r="G28" i="17" l="1"/>
  <c r="D28" i="17"/>
  <c r="F28" i="17" l="1"/>
  <c r="H28" i="17"/>
  <c r="B29" i="17" s="1"/>
  <c r="E29" i="17" l="1"/>
  <c r="E7" i="17" l="1"/>
  <c r="G29" i="17"/>
  <c r="G7" i="17" s="1"/>
  <c r="D29" i="17"/>
  <c r="D7" i="17" l="1"/>
  <c r="H7" i="17" s="1"/>
  <c r="B8" i="17" s="1"/>
  <c r="H29" i="17"/>
  <c r="B30" i="17" s="1"/>
  <c r="F29" i="17"/>
  <c r="F7" i="17" l="1"/>
  <c r="E30" i="17"/>
  <c r="G30" i="17" l="1"/>
  <c r="D30" i="17"/>
  <c r="F30" i="17" l="1"/>
  <c r="H30" i="17"/>
  <c r="B31" i="17" s="1"/>
  <c r="E31" i="17" l="1"/>
  <c r="G31" i="17" l="1"/>
  <c r="D31" i="17"/>
  <c r="H31" i="17" l="1"/>
  <c r="B32" i="17" s="1"/>
  <c r="F31" i="17"/>
  <c r="E32" i="17" l="1"/>
  <c r="G32" i="17" l="1"/>
  <c r="D32" i="17"/>
  <c r="F32" i="17" l="1"/>
  <c r="H32" i="17"/>
  <c r="B33" i="17" s="1"/>
  <c r="E33" i="17" l="1"/>
  <c r="G33" i="17" l="1"/>
  <c r="D33" i="17"/>
  <c r="H33" i="17" l="1"/>
  <c r="B34" i="17" s="1"/>
  <c r="F33" i="17"/>
  <c r="E34" i="17" l="1"/>
  <c r="G34" i="17" l="1"/>
  <c r="D34" i="17"/>
  <c r="F34" i="17" l="1"/>
  <c r="H34" i="17"/>
  <c r="B35" i="17" s="1"/>
  <c r="E35" i="17" l="1"/>
  <c r="G35" i="17" l="1"/>
  <c r="D35" i="17"/>
  <c r="H35" i="17" l="1"/>
  <c r="B36" i="17" s="1"/>
  <c r="F35" i="17"/>
  <c r="E36" i="17" l="1"/>
  <c r="G36" i="17" l="1"/>
  <c r="D36" i="17"/>
  <c r="F36" i="17" l="1"/>
  <c r="H36" i="17"/>
  <c r="B37" i="17" s="1"/>
  <c r="E37" i="17" l="1"/>
  <c r="G37" i="17" l="1"/>
  <c r="D37" i="17"/>
  <c r="H37" i="17" l="1"/>
  <c r="B38" i="17" s="1"/>
  <c r="F37" i="17"/>
  <c r="E38" i="17" l="1"/>
  <c r="G38" i="17" l="1"/>
  <c r="D38" i="17"/>
  <c r="F38" i="17" l="1"/>
  <c r="H38" i="17"/>
  <c r="B39" i="17" s="1"/>
  <c r="E39" i="17" l="1"/>
  <c r="G39" i="17" l="1"/>
  <c r="D39" i="17"/>
  <c r="H39" i="17" l="1"/>
  <c r="B40" i="17" s="1"/>
  <c r="F39" i="17"/>
  <c r="E40" i="17" l="1"/>
  <c r="G40" i="17" l="1"/>
  <c r="D40" i="17"/>
  <c r="F40" i="17" l="1"/>
  <c r="H40" i="17"/>
  <c r="B41" i="17" s="1"/>
  <c r="E41" i="17" l="1"/>
  <c r="E8" i="17" l="1"/>
  <c r="G41" i="17"/>
  <c r="G8" i="17" s="1"/>
  <c r="D41" i="17"/>
  <c r="D8" i="17" s="1"/>
  <c r="H8" i="17" l="1"/>
  <c r="B9" i="17" s="1"/>
  <c r="H41" i="17"/>
  <c r="B42" i="17" s="1"/>
  <c r="F41" i="17"/>
  <c r="F8" i="17" l="1"/>
  <c r="E42" i="17"/>
  <c r="G42" i="17" l="1"/>
  <c r="D42" i="17"/>
  <c r="F42" i="17" l="1"/>
  <c r="H42" i="17"/>
  <c r="B43" i="17" s="1"/>
  <c r="E43" i="17" l="1"/>
  <c r="G43" i="17" l="1"/>
  <c r="D43" i="17"/>
  <c r="H43" i="17" l="1"/>
  <c r="B44" i="17" s="1"/>
  <c r="F43" i="17"/>
  <c r="E44" i="17" l="1"/>
  <c r="G44" i="17" l="1"/>
  <c r="D44" i="17"/>
  <c r="F44" i="17" l="1"/>
  <c r="H44" i="17"/>
  <c r="B45" i="17" s="1"/>
  <c r="E45" i="17" l="1"/>
  <c r="G45" i="17" l="1"/>
  <c r="D45" i="17"/>
  <c r="H45" i="17" l="1"/>
  <c r="B46" i="17" s="1"/>
  <c r="F45" i="17"/>
  <c r="E46" i="17" l="1"/>
  <c r="G46" i="17" l="1"/>
  <c r="D46" i="17"/>
  <c r="F46" i="17" l="1"/>
  <c r="H46" i="17"/>
  <c r="B47" i="17" s="1"/>
  <c r="E47" i="17" l="1"/>
  <c r="G47" i="17" l="1"/>
  <c r="D47" i="17"/>
  <c r="H47" i="17" l="1"/>
  <c r="B48" i="17" s="1"/>
  <c r="F47" i="17"/>
  <c r="E48" i="17" l="1"/>
  <c r="G48" i="17" l="1"/>
  <c r="D48" i="17"/>
  <c r="F48" i="17" l="1"/>
  <c r="H48" i="17"/>
  <c r="B49" i="17" s="1"/>
  <c r="E49" i="17" l="1"/>
  <c r="G49" i="17" l="1"/>
  <c r="D49" i="17"/>
  <c r="H49" i="17" l="1"/>
  <c r="B50" i="17" s="1"/>
  <c r="F49" i="17"/>
  <c r="E50" i="17" l="1"/>
  <c r="G50" i="17" l="1"/>
  <c r="D50" i="17"/>
  <c r="F50" i="17" l="1"/>
  <c r="H50" i="17"/>
  <c r="B51" i="17" s="1"/>
  <c r="E51" i="17" l="1"/>
  <c r="G51" i="17" l="1"/>
  <c r="D51" i="17"/>
  <c r="H51" i="17" l="1"/>
  <c r="B52" i="17" s="1"/>
  <c r="F51" i="17"/>
  <c r="E52" i="17" l="1"/>
  <c r="G52" i="17" l="1"/>
  <c r="D52" i="17"/>
  <c r="F52" i="17" l="1"/>
  <c r="H52" i="17"/>
  <c r="B53" i="17" s="1"/>
  <c r="E53" i="17" l="1"/>
  <c r="E9" i="17" l="1"/>
  <c r="G53" i="17"/>
  <c r="G9" i="17" s="1"/>
  <c r="D53" i="17"/>
  <c r="D9" i="17" l="1"/>
  <c r="H9" i="17" s="1"/>
  <c r="B10" i="17" s="1"/>
  <c r="H53" i="17"/>
  <c r="B54" i="17" s="1"/>
  <c r="F53" i="17"/>
  <c r="F9" i="17" l="1"/>
  <c r="E54" i="17"/>
  <c r="G54" i="17" l="1"/>
  <c r="D54" i="17"/>
  <c r="F54" i="17" l="1"/>
  <c r="H54" i="17"/>
  <c r="B55" i="17" s="1"/>
  <c r="E55" i="17" l="1"/>
  <c r="G55" i="17" l="1"/>
  <c r="D55" i="17"/>
  <c r="H55" i="17" l="1"/>
  <c r="B56" i="17" s="1"/>
  <c r="F55" i="17"/>
  <c r="E56" i="17" l="1"/>
  <c r="G56" i="17" l="1"/>
  <c r="D56" i="17"/>
  <c r="F56" i="17" l="1"/>
  <c r="H56" i="17"/>
  <c r="B57" i="17" s="1"/>
  <c r="E57" i="17" l="1"/>
  <c r="G57" i="17" l="1"/>
  <c r="D57" i="17"/>
  <c r="H57" i="17" l="1"/>
  <c r="B58" i="17" s="1"/>
  <c r="F57" i="17"/>
  <c r="E58" i="17" l="1"/>
  <c r="G58" i="17" l="1"/>
  <c r="D58" i="17"/>
  <c r="F58" i="17" l="1"/>
  <c r="H58" i="17"/>
  <c r="B59" i="17" s="1"/>
  <c r="E59" i="17" l="1"/>
  <c r="G59" i="17" l="1"/>
  <c r="D59" i="17"/>
  <c r="H59" i="17" l="1"/>
  <c r="B60" i="17" s="1"/>
  <c r="F59" i="17"/>
  <c r="E60" i="17" l="1"/>
  <c r="G60" i="17" l="1"/>
  <c r="D60" i="17"/>
  <c r="F60" i="17" l="1"/>
  <c r="H60" i="17"/>
  <c r="B61" i="17" s="1"/>
  <c r="E61" i="17" l="1"/>
  <c r="G61" i="17" l="1"/>
  <c r="D61" i="17"/>
  <c r="H61" i="17" l="1"/>
  <c r="B62" i="17" s="1"/>
  <c r="F61" i="17"/>
  <c r="E62" i="17" l="1"/>
  <c r="G62" i="17" l="1"/>
  <c r="D62" i="17"/>
  <c r="F62" i="17" l="1"/>
  <c r="H62" i="17"/>
  <c r="B63" i="17" s="1"/>
  <c r="E63" i="17" l="1"/>
  <c r="G63" i="17" l="1"/>
  <c r="D63" i="17"/>
  <c r="H63" i="17" l="1"/>
  <c r="B64" i="17" s="1"/>
  <c r="F63" i="17"/>
  <c r="E64" i="17" l="1"/>
  <c r="G64" i="17" l="1"/>
  <c r="D64" i="17"/>
  <c r="F64" i="17" l="1"/>
  <c r="H64" i="17"/>
  <c r="B65" i="17" s="1"/>
  <c r="E65" i="17" l="1"/>
  <c r="E10" i="17" l="1"/>
  <c r="G65" i="17"/>
  <c r="G10" i="17" s="1"/>
  <c r="D65" i="17"/>
  <c r="D10" i="17" l="1"/>
  <c r="H10" i="17" s="1"/>
  <c r="B11" i="17" s="1"/>
  <c r="H65" i="17"/>
  <c r="B66" i="17" s="1"/>
  <c r="F65" i="17"/>
  <c r="F10" i="17" l="1"/>
  <c r="E66" i="17"/>
  <c r="G66" i="17" l="1"/>
  <c r="D66" i="17"/>
  <c r="F66" i="17" l="1"/>
  <c r="H66" i="17"/>
  <c r="B67" i="17" s="1"/>
  <c r="E67" i="17" l="1"/>
  <c r="G67" i="17" l="1"/>
  <c r="D67" i="17"/>
  <c r="H67" i="17" l="1"/>
  <c r="B68" i="17" s="1"/>
  <c r="F67" i="17"/>
  <c r="E68" i="17" l="1"/>
  <c r="G68" i="17" l="1"/>
  <c r="D68" i="17"/>
  <c r="F68" i="17" l="1"/>
  <c r="H68" i="17"/>
  <c r="B69" i="17" s="1"/>
  <c r="E69" i="17" l="1"/>
  <c r="G69" i="17" l="1"/>
  <c r="D69" i="17"/>
  <c r="H69" i="17" l="1"/>
  <c r="B70" i="17" s="1"/>
  <c r="F69" i="17"/>
  <c r="E70" i="17" l="1"/>
  <c r="G70" i="17" l="1"/>
  <c r="D70" i="17"/>
  <c r="F70" i="17" l="1"/>
  <c r="H70" i="17"/>
  <c r="B71" i="17" s="1"/>
  <c r="E71" i="17" l="1"/>
  <c r="G71" i="17" l="1"/>
  <c r="D71" i="17"/>
  <c r="H71" i="17" l="1"/>
  <c r="B72" i="17" s="1"/>
  <c r="F71" i="17"/>
  <c r="E72" i="17" l="1"/>
  <c r="G72" i="17" l="1"/>
  <c r="D72" i="17"/>
  <c r="F72" i="17" l="1"/>
  <c r="H72" i="17"/>
  <c r="B73" i="17" s="1"/>
  <c r="E73" i="17" l="1"/>
  <c r="G73" i="17" l="1"/>
  <c r="D73" i="17"/>
  <c r="H73" i="17" l="1"/>
  <c r="B74" i="17" s="1"/>
  <c r="F73" i="17"/>
  <c r="E74" i="17" l="1"/>
  <c r="G74" i="17" l="1"/>
  <c r="D74" i="17"/>
  <c r="F74" i="17" l="1"/>
  <c r="H74" i="17"/>
  <c r="B75" i="17" s="1"/>
  <c r="E75" i="17" l="1"/>
  <c r="G75" i="17" l="1"/>
  <c r="D75" i="17"/>
  <c r="H75" i="17" l="1"/>
  <c r="B76" i="17" s="1"/>
  <c r="F75" i="17"/>
  <c r="E76" i="17" l="1"/>
  <c r="G76" i="17" l="1"/>
  <c r="D76" i="17"/>
  <c r="F76" i="17" l="1"/>
  <c r="H76" i="17"/>
  <c r="B77" i="17" s="1"/>
  <c r="E77" i="17" l="1"/>
  <c r="E11" i="17" l="1"/>
  <c r="G77" i="17"/>
  <c r="G11" i="17" s="1"/>
  <c r="D77" i="17"/>
  <c r="D11" i="17" l="1"/>
  <c r="H11" i="17" s="1"/>
  <c r="H77" i="17"/>
  <c r="B78" i="17" s="1"/>
  <c r="F77" i="17"/>
  <c r="F11" i="17" l="1"/>
  <c r="E78" i="17"/>
  <c r="D78" i="17" l="1"/>
  <c r="G78" i="17"/>
  <c r="F78" i="17" l="1"/>
  <c r="H7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tc={A010E258-30E6-41BD-BE43-444AE13F5B30}</author>
  </authors>
  <commentList>
    <comment ref="J1" authorId="0" shapeId="0" xr:uid="{A010E258-30E6-41BD-BE43-444AE13F5B30}">
      <text>
        <t>[Threaded comment]
Your version of Excel allows you to read this threaded comment; however, any edits to it will get removed if the file is opened in a newer version of Excel. Learn more: https://go.microsoft.com/fwlink/?linkid=870924
Comment:
    I estimated what the total of weeks of work (over lapping tasks, considering resources, and dependencies).
I might wrap this into the WBS or hide the column.</t>
      </text>
    </comment>
  </commentList>
</comments>
</file>

<file path=xl/sharedStrings.xml><?xml version="1.0" encoding="utf-8"?>
<sst xmlns="http://schemas.openxmlformats.org/spreadsheetml/2006/main" count="486" uniqueCount="280">
  <si>
    <t>Task ID</t>
  </si>
  <si>
    <t>Task</t>
  </si>
  <si>
    <t>Resource</t>
  </si>
  <si>
    <t>Dependencies</t>
  </si>
  <si>
    <t>Number of Resources</t>
  </si>
  <si>
    <t>Duration (hrs)</t>
  </si>
  <si>
    <t>Cost</t>
  </si>
  <si>
    <t>Subtotal</t>
  </si>
  <si>
    <t>Actual Weeks</t>
  </si>
  <si>
    <t>1</t>
  </si>
  <si>
    <t>Phase 1: Pre-development activities</t>
  </si>
  <si>
    <t>System requirements analysis</t>
  </si>
  <si>
    <t>1.1.1</t>
  </si>
  <si>
    <t>Gather UI/UX requirements</t>
  </si>
  <si>
    <t>Project Manager</t>
  </si>
  <si>
    <t>-</t>
  </si>
  <si>
    <t>1.1.2</t>
  </si>
  <si>
    <t>Gather front-end development requirements</t>
  </si>
  <si>
    <t>1.1.3</t>
  </si>
  <si>
    <t>Gather database requirements</t>
  </si>
  <si>
    <t>1.1.4</t>
  </si>
  <si>
    <t>Gather service integration requirements</t>
  </si>
  <si>
    <t>1.1.5</t>
  </si>
  <si>
    <t>Finalize requirements</t>
  </si>
  <si>
    <t>1.1.1, 1.1.2, 1.1.3, 1.1.4</t>
  </si>
  <si>
    <t>Team Expansion</t>
  </si>
  <si>
    <t>1.2.1</t>
  </si>
  <si>
    <t>Determine team requirements</t>
  </si>
  <si>
    <t>HR Representative</t>
  </si>
  <si>
    <t>1.2.2</t>
  </si>
  <si>
    <t>Create job descriptions for open positions</t>
  </si>
  <si>
    <t>1.2.3</t>
  </si>
  <si>
    <t>Accept applications for new open positions</t>
  </si>
  <si>
    <t>1.2.4</t>
  </si>
  <si>
    <t>Interview applicants - first round</t>
  </si>
  <si>
    <t>1.2.5</t>
  </si>
  <si>
    <t>Interview applicants - second round</t>
  </si>
  <si>
    <t>1.2.6</t>
  </si>
  <si>
    <t>Finalize offers</t>
  </si>
  <si>
    <t>1.2.7</t>
  </si>
  <si>
    <t>Onboard new hires</t>
  </si>
  <si>
    <t>Training</t>
  </si>
  <si>
    <t>1.3.1</t>
  </si>
  <si>
    <t>Training for existing employees</t>
  </si>
  <si>
    <t>Technical Trainer,
Sr. Developer,
Jr. Developer I,
Jr. Developer II</t>
  </si>
  <si>
    <t>1.4</t>
  </si>
  <si>
    <t>Phase 1: Complete</t>
  </si>
  <si>
    <t>Phase 2: UI/UX Site Design</t>
  </si>
  <si>
    <t>2.1</t>
  </si>
  <si>
    <t>Create wireframes</t>
  </si>
  <si>
    <t>2.1.1</t>
  </si>
  <si>
    <t>Develop wireframes for site designs</t>
  </si>
  <si>
    <t>UI Designer</t>
  </si>
  <si>
    <t>2.1.2</t>
  </si>
  <si>
    <t>Wireframe approvals (first round)</t>
  </si>
  <si>
    <t>2.1.3</t>
  </si>
  <si>
    <t>Wireframe updates</t>
  </si>
  <si>
    <t>2.1.4</t>
  </si>
  <si>
    <t>Wireframe approvals (second round)</t>
  </si>
  <si>
    <t>2.2</t>
  </si>
  <si>
    <t>Develop site pages</t>
  </si>
  <si>
    <t>2.2.1</t>
  </si>
  <si>
    <t>Develop product catalog page</t>
  </si>
  <si>
    <t>2.2.2</t>
  </si>
  <si>
    <t>Develop individual product pages</t>
  </si>
  <si>
    <t>2.2.3</t>
  </si>
  <si>
    <t>Develop customer review sections</t>
  </si>
  <si>
    <t>2.2.4</t>
  </si>
  <si>
    <t>Develop customer account pages</t>
  </si>
  <si>
    <t>2.2.5</t>
  </si>
  <si>
    <t>Develop cart and checkout pages</t>
  </si>
  <si>
    <t>2.2.6</t>
  </si>
  <si>
    <t>Develop informational pages</t>
  </si>
  <si>
    <t>2.3</t>
  </si>
  <si>
    <t>UI/UX Approvals</t>
  </si>
  <si>
    <t>2.3.1</t>
  </si>
  <si>
    <t>UI/UX approvals (first round)</t>
  </si>
  <si>
    <t>2.2.1, 2.2.2, 2.2.3, 2.2.4, 2.2.5, 2.2.6</t>
  </si>
  <si>
    <t>2.3.2</t>
  </si>
  <si>
    <t>UI/UX revisions</t>
  </si>
  <si>
    <t>2.3.3</t>
  </si>
  <si>
    <t>UI/UX final approval</t>
  </si>
  <si>
    <t>2.4</t>
  </si>
  <si>
    <t>Phase 2: Complete</t>
  </si>
  <si>
    <t>3</t>
  </si>
  <si>
    <t>Phase 3: Web application development</t>
  </si>
  <si>
    <t>3.1</t>
  </si>
  <si>
    <t>Develop product subsystem</t>
  </si>
  <si>
    <t>3.1.1</t>
  </si>
  <si>
    <t>Build data schema for products</t>
  </si>
  <si>
    <t>Sr. Developer</t>
  </si>
  <si>
    <t>1.1.5, 1.2.7</t>
  </si>
  <si>
    <t>3.1.2</t>
  </si>
  <si>
    <t>Build interface for product data</t>
  </si>
  <si>
    <t>3.1.3</t>
  </si>
  <si>
    <t>Build API endpoints for products</t>
  </si>
  <si>
    <t>Jr. Developer I</t>
  </si>
  <si>
    <t>3.1.4</t>
  </si>
  <si>
    <t>Build business logic for products</t>
  </si>
  <si>
    <t>Jr. Developer II</t>
  </si>
  <si>
    <t>3.2</t>
  </si>
  <si>
    <t>Develop customer subsystem</t>
  </si>
  <si>
    <t>3.2.1</t>
  </si>
  <si>
    <t>Build data schema for customer info</t>
  </si>
  <si>
    <t>3.2.2</t>
  </si>
  <si>
    <t>Build interface for customer data</t>
  </si>
  <si>
    <t>3.2.3</t>
  </si>
  <si>
    <t>Build API endpoints for customer info</t>
  </si>
  <si>
    <t>3.2.4</t>
  </si>
  <si>
    <t>Build business logic for customer info</t>
  </si>
  <si>
    <t>3.3</t>
  </si>
  <si>
    <t>Develop pricing subsystem</t>
  </si>
  <si>
    <t>3.3.1</t>
  </si>
  <si>
    <t>Build pricing data schema</t>
  </si>
  <si>
    <t>3.3.2</t>
  </si>
  <si>
    <t>Build interfacec for pricing data</t>
  </si>
  <si>
    <t>3.3.3</t>
  </si>
  <si>
    <t>Build API endpoints for pricing</t>
  </si>
  <si>
    <t>3.3.4</t>
  </si>
  <si>
    <t>Build business logic for pricing</t>
  </si>
  <si>
    <t>3.4</t>
  </si>
  <si>
    <t>Develop transaction subsystem</t>
  </si>
  <si>
    <t>3.4.1</t>
  </si>
  <si>
    <t>Build transaction data schema</t>
  </si>
  <si>
    <t>3.4.2</t>
  </si>
  <si>
    <t>Build interface for transaction data</t>
  </si>
  <si>
    <t>3.4.3</t>
  </si>
  <si>
    <t>Build API endpoints for transactions</t>
  </si>
  <si>
    <t>3.4.4</t>
  </si>
  <si>
    <t>Build  business logic for transactions</t>
  </si>
  <si>
    <t>3.5</t>
  </si>
  <si>
    <t>Develop product review subsystem</t>
  </si>
  <si>
    <t>3.5.1</t>
  </si>
  <si>
    <t>Build review data schema</t>
  </si>
  <si>
    <t>3.5.2</t>
  </si>
  <si>
    <t>Build interface for review data</t>
  </si>
  <si>
    <t>3.5.3</t>
  </si>
  <si>
    <t>Build API endpoints for product reviews</t>
  </si>
  <si>
    <t>3.5.4</t>
  </si>
  <si>
    <t>Build business logic for product reviews</t>
  </si>
  <si>
    <t>3.6</t>
  </si>
  <si>
    <t>Develop inventory management subsystem</t>
  </si>
  <si>
    <t>3.6.1</t>
  </si>
  <si>
    <t>Build inventory management schema</t>
  </si>
  <si>
    <t>3.6.2</t>
  </si>
  <si>
    <t>Build interface for inventory management data</t>
  </si>
  <si>
    <t>3.6.3</t>
  </si>
  <si>
    <t>Build API endpoints for inventory management</t>
  </si>
  <si>
    <t>3.6.4</t>
  </si>
  <si>
    <t xml:space="preserve">Build business logic for inventory management </t>
  </si>
  <si>
    <t>3.7</t>
  </si>
  <si>
    <t>Develop tax and shipping subsystem</t>
  </si>
  <si>
    <t>3.7.1</t>
  </si>
  <si>
    <t>Build shipping and tax schema</t>
  </si>
  <si>
    <t>3.7.2</t>
  </si>
  <si>
    <t>Build interface for shipping and tax data</t>
  </si>
  <si>
    <t>3.7.3</t>
  </si>
  <si>
    <t>Build API endpoints for shipping and tax processing</t>
  </si>
  <si>
    <t>3.7.4</t>
  </si>
  <si>
    <t>Build business logic for shipping and tax processing</t>
  </si>
  <si>
    <t>3.8</t>
  </si>
  <si>
    <t>Subsystem testing</t>
  </si>
  <si>
    <t>3.8.1</t>
  </si>
  <si>
    <t>Integration testing</t>
  </si>
  <si>
    <t>Tester I,
Tester II</t>
  </si>
  <si>
    <t>3.1.1, 3.1.2, 3.1.3, 3.1.4,
3.2.1, 3.2.2, 3.2.3, 3.2.4,
3.3.1, 3.3.2, 3.3.3, 3.3.4,
3.4.1, 3.4.2, 3.4.3, 3.4.4,
3.5.1, 3.5.2, 3.5.3, 3.5.4,
3.6.1, 3.6.2, 3.6.3, 3.6.4,
3.7.1, 3.7.2, 3.7.3, 3.7.4</t>
  </si>
  <si>
    <t>3.8.2</t>
  </si>
  <si>
    <t>Acceptence testing</t>
  </si>
  <si>
    <t>3.9</t>
  </si>
  <si>
    <t>System Approvals</t>
  </si>
  <si>
    <t>3.9.1</t>
  </si>
  <si>
    <t>System approvals (first round)</t>
  </si>
  <si>
    <t>3.8.1, 3.8.2</t>
  </si>
  <si>
    <t>3.9.2</t>
  </si>
  <si>
    <t>System revisions</t>
  </si>
  <si>
    <t>Jr. Developer I,
Jr. Developer II</t>
  </si>
  <si>
    <t>3.9.3</t>
  </si>
  <si>
    <t>System final approval</t>
  </si>
  <si>
    <t>3.10</t>
  </si>
  <si>
    <t>Phase 3: Complete</t>
  </si>
  <si>
    <t>4</t>
  </si>
  <si>
    <t>Phase 4: Deployment</t>
  </si>
  <si>
    <t>4.1</t>
  </si>
  <si>
    <t>Infrastructure</t>
  </si>
  <si>
    <t>4.1.1</t>
  </si>
  <si>
    <t>Build infrastructure</t>
  </si>
  <si>
    <t>4.1.2</t>
  </si>
  <si>
    <t>Install required services</t>
  </si>
  <si>
    <t>4.2</t>
  </si>
  <si>
    <t>Deploy website to infrastructure</t>
  </si>
  <si>
    <t>4.2.1</t>
  </si>
  <si>
    <t>Configure deployment pipelines</t>
  </si>
  <si>
    <t>4.2.2</t>
  </si>
  <si>
    <t>Deploy website</t>
  </si>
  <si>
    <t>4.2.1, 3.9.3</t>
  </si>
  <si>
    <t>4.3</t>
  </si>
  <si>
    <t>Phase 4: Complete</t>
  </si>
  <si>
    <t>5</t>
  </si>
  <si>
    <t>Phase 5: SalesForce integration</t>
  </si>
  <si>
    <t>5.1</t>
  </si>
  <si>
    <t>Develop data adapters</t>
  </si>
  <si>
    <t>5.1.1</t>
  </si>
  <si>
    <t>Map customer data to SalesForce data</t>
  </si>
  <si>
    <t>5.1.2</t>
  </si>
  <si>
    <t>Develop data conversion adapter</t>
  </si>
  <si>
    <t>5.2</t>
  </si>
  <si>
    <t>Service integration</t>
  </si>
  <si>
    <t>5.2.1</t>
  </si>
  <si>
    <t>Develop data egress to SalesForce</t>
  </si>
  <si>
    <t>5.2.2</t>
  </si>
  <si>
    <t>Develop data ingress from SalesForce</t>
  </si>
  <si>
    <t>5.2.3</t>
  </si>
  <si>
    <t>Develop data sync service</t>
  </si>
  <si>
    <t>5.3</t>
  </si>
  <si>
    <t>SalesForce integration testing</t>
  </si>
  <si>
    <t>5.3.1</t>
  </si>
  <si>
    <t>Test data egress</t>
  </si>
  <si>
    <t>5.3.2</t>
  </si>
  <si>
    <t>Test data ingress</t>
  </si>
  <si>
    <t>5.4</t>
  </si>
  <si>
    <t>SalesForce integration deployment</t>
  </si>
  <si>
    <t>5.4.1</t>
  </si>
  <si>
    <t>Cut-over to production customer data</t>
  </si>
  <si>
    <t>5.4.2</t>
  </si>
  <si>
    <t>Cut-over to production SalesForce instance</t>
  </si>
  <si>
    <t>5.5</t>
  </si>
  <si>
    <t>Phase 5: Complete</t>
  </si>
  <si>
    <t>6</t>
  </si>
  <si>
    <t>Project Complete</t>
  </si>
  <si>
    <t>TOTAL DURATION (CUMULATIVE HOURS)</t>
  </si>
  <si>
    <t>ACTUAL DURATION (WEEKS)</t>
  </si>
  <si>
    <t>TOTAL COST</t>
  </si>
  <si>
    <t>Hourly</t>
  </si>
  <si>
    <t>Weekly</t>
  </si>
  <si>
    <t>FTE</t>
  </si>
  <si>
    <t>UI Developer</t>
  </si>
  <si>
    <t>Technical Trainer</t>
  </si>
  <si>
    <t>N/A</t>
  </si>
  <si>
    <t>Tester I</t>
  </si>
  <si>
    <t>Tester II</t>
  </si>
  <si>
    <t>Loan Amount</t>
  </si>
  <si>
    <t>Interest Rate (0.XX)</t>
  </si>
  <si>
    <t>Months</t>
  </si>
  <si>
    <t>Monthly Payment</t>
  </si>
  <si>
    <t>Year</t>
  </si>
  <si>
    <t>Beginning Balance</t>
  </si>
  <si>
    <t>Payment</t>
  </si>
  <si>
    <t>Principal</t>
  </si>
  <si>
    <t>Interest</t>
  </si>
  <si>
    <t>Cumulative Principal</t>
  </si>
  <si>
    <t>Cumulative Interest</t>
  </si>
  <si>
    <t>Ending Balance</t>
  </si>
  <si>
    <t>Month</t>
  </si>
  <si>
    <t>End of Year</t>
  </si>
  <si>
    <t>Online Sales</t>
  </si>
  <si>
    <t>Increased Price</t>
  </si>
  <si>
    <t>Increased Sales</t>
  </si>
  <si>
    <t>Total</t>
  </si>
  <si>
    <t>Increased Sales / yr</t>
  </si>
  <si>
    <t>Increased Price / yr</t>
  </si>
  <si>
    <t>Increases</t>
  </si>
  <si>
    <t>Tasks</t>
  </si>
  <si>
    <t>Costs</t>
  </si>
  <si>
    <t>+5%</t>
  </si>
  <si>
    <t>/year</t>
  </si>
  <si>
    <t>Salaries</t>
  </si>
  <si>
    <t>+25%</t>
  </si>
  <si>
    <t>/5 years</t>
  </si>
  <si>
    <t>Tech Upgrades</t>
  </si>
  <si>
    <t>Operational Costs</t>
  </si>
  <si>
    <t>Loan</t>
  </si>
  <si>
    <t>Temporary Hires</t>
  </si>
  <si>
    <t>End of year</t>
  </si>
  <si>
    <t>Income</t>
  </si>
  <si>
    <t>Expenses</t>
  </si>
  <si>
    <t>Net Cash Flow</t>
  </si>
  <si>
    <t>Cash flow value</t>
  </si>
  <si>
    <t>(P/F,i,n)</t>
  </si>
  <si>
    <t>Present Worth Cash Flow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</si>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</sst>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  <numFmt numFmtId="166" formatCode="_([$$-409]* #,##0_);_([$$-409]* \(#,##0\);_([$$-409]* &quot;-&quot;??_);_(@_)"/>
  </numFmts>
  <fonts count="1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Display"/>
      <scheme val="major"/>
    </font>
    <font>
      <sz val="11"/>
      <color theme="1"/>
      <name val="Aptos Display"/>
      <scheme val="major"/>
    </font>
    <font>
      <sz val="11"/>
      <color rgb="FF000000"/>
      <name val="Aptos Display"/>
      <scheme val="major"/>
    </font>
    <font>
      <b/>
      <sz val="14"/>
      <color theme="1"/>
      <name val="Aptos Narrow"/>
      <family val="2"/>
      <scheme val="minor"/>
    </font>
    <font>
      <b/>
      <sz val="14"/>
      <color theme="1"/>
      <name val="Aptos Display"/>
      <scheme val="major"/>
    </font>
    <font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Display"/>
      <scheme val="major"/>
    </font>
    <font>
      <sz val="12"/>
      <color theme="1"/>
      <name val="Aptos Narrow"/>
      <family val="2"/>
      <scheme val="minor"/>
    </font>
    <font>
      <sz val="11"/>
      <color rgb="FF000000"/>
      <name val="Aptos Narrow"/>
      <scheme val="minor"/>
    </font>
    <font>
      <b/>
      <i/>
      <sz val="12"/>
      <color theme="1"/>
      <name val="Aptos Narrow"/>
      <family val="2"/>
      <scheme val="minor"/>
    </font>
    <font>
      <sz val="11"/>
      <color rgb="FF2D2D2D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1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5" fillId="0" borderId="0" xfId="0" applyFont="1"/>
    <xf numFmtId="164" fontId="0" fillId="0" borderId="0" xfId="0" applyNumberFormat="1"/>
    <xf numFmtId="0" fontId="1" fillId="0" borderId="2" xfId="0" applyFont="1" applyBorder="1"/>
    <xf numFmtId="0" fontId="0" fillId="0" borderId="2" xfId="0" applyBorder="1"/>
    <xf numFmtId="6" fontId="0" fillId="0" borderId="2" xfId="0" applyNumberFormat="1" applyBorder="1"/>
    <xf numFmtId="0" fontId="10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left" vertical="top"/>
    </xf>
    <xf numFmtId="0" fontId="5" fillId="0" borderId="2" xfId="0" applyFont="1" applyBorder="1" applyAlignment="1">
      <alignment vertical="top"/>
    </xf>
    <xf numFmtId="49" fontId="1" fillId="0" borderId="2" xfId="0" applyNumberFormat="1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top"/>
    </xf>
    <xf numFmtId="49" fontId="5" fillId="0" borderId="2" xfId="0" applyNumberFormat="1" applyFont="1" applyBorder="1" applyAlignment="1">
      <alignment horizontal="left" vertical="top"/>
    </xf>
    <xf numFmtId="0" fontId="6" fillId="0" borderId="2" xfId="0" applyFont="1" applyBorder="1" applyAlignment="1">
      <alignment vertical="top"/>
    </xf>
    <xf numFmtId="0" fontId="7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/>
    </xf>
    <xf numFmtId="49" fontId="8" fillId="0" borderId="2" xfId="0" applyNumberFormat="1" applyFont="1" applyBorder="1" applyAlignment="1">
      <alignment horizontal="left" vertical="top"/>
    </xf>
    <xf numFmtId="0" fontId="9" fillId="0" borderId="2" xfId="0" applyFont="1" applyBorder="1" applyAlignment="1">
      <alignment vertical="top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/>
    </xf>
    <xf numFmtId="49" fontId="0" fillId="0" borderId="2" xfId="0" applyNumberFormat="1" applyBorder="1" applyAlignment="1">
      <alignment horizontal="left" vertical="top"/>
    </xf>
    <xf numFmtId="0" fontId="3" fillId="0" borderId="2" xfId="0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vertical="top"/>
    </xf>
    <xf numFmtId="0" fontId="10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/>
    </xf>
    <xf numFmtId="0" fontId="5" fillId="0" borderId="2" xfId="0" applyFont="1" applyBorder="1" applyAlignment="1">
      <alignment vertical="top" wrapText="1"/>
    </xf>
    <xf numFmtId="49" fontId="8" fillId="0" borderId="2" xfId="0" applyNumberFormat="1" applyFont="1" applyBorder="1" applyAlignment="1">
      <alignment vertical="top"/>
    </xf>
    <xf numFmtId="0" fontId="11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vertical="top"/>
    </xf>
    <xf numFmtId="165" fontId="5" fillId="3" borderId="2" xfId="0" applyNumberFormat="1" applyFont="1" applyFill="1" applyBorder="1" applyAlignment="1">
      <alignment vertical="top"/>
    </xf>
    <xf numFmtId="165" fontId="8" fillId="0" borderId="2" xfId="0" applyNumberFormat="1" applyFont="1" applyBorder="1" applyAlignment="1">
      <alignment vertical="top"/>
    </xf>
    <xf numFmtId="165" fontId="0" fillId="0" borderId="2" xfId="0" applyNumberFormat="1" applyBorder="1" applyAlignment="1">
      <alignment vertical="top"/>
    </xf>
    <xf numFmtId="165" fontId="10" fillId="0" borderId="2" xfId="0" applyNumberFormat="1" applyFont="1" applyBorder="1" applyAlignment="1">
      <alignment vertical="top"/>
    </xf>
    <xf numFmtId="165" fontId="5" fillId="0" borderId="2" xfId="0" applyNumberFormat="1" applyFont="1" applyBorder="1" applyAlignment="1">
      <alignment vertical="top"/>
    </xf>
    <xf numFmtId="165" fontId="0" fillId="0" borderId="0" xfId="0" applyNumberFormat="1" applyAlignment="1">
      <alignment vertical="top"/>
    </xf>
    <xf numFmtId="165" fontId="7" fillId="0" borderId="2" xfId="0" applyNumberFormat="1" applyFont="1" applyBorder="1" applyAlignment="1">
      <alignment vertical="top"/>
    </xf>
    <xf numFmtId="165" fontId="12" fillId="2" borderId="2" xfId="0" applyNumberFormat="1" applyFont="1" applyFill="1" applyBorder="1" applyAlignment="1">
      <alignment vertical="top"/>
    </xf>
    <xf numFmtId="165" fontId="0" fillId="0" borderId="0" xfId="0" applyNumberFormat="1"/>
    <xf numFmtId="8" fontId="0" fillId="0" borderId="0" xfId="0" applyNumberFormat="1"/>
    <xf numFmtId="164" fontId="13" fillId="0" borderId="0" xfId="0" applyNumberFormat="1" applyFo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6" xfId="0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9" fontId="1" fillId="0" borderId="0" xfId="0" applyNumberFormat="1" applyFont="1" applyAlignment="1">
      <alignment wrapText="1"/>
    </xf>
    <xf numFmtId="0" fontId="0" fillId="0" borderId="13" xfId="0" applyBorder="1"/>
    <xf numFmtId="0" fontId="1" fillId="0" borderId="3" xfId="0" applyFont="1" applyBorder="1"/>
    <xf numFmtId="0" fontId="1" fillId="0" borderId="12" xfId="0" applyFont="1" applyBorder="1" applyAlignment="1">
      <alignment wrapText="1"/>
    </xf>
    <xf numFmtId="164" fontId="0" fillId="0" borderId="11" xfId="0" applyNumberFormat="1" applyBorder="1"/>
    <xf numFmtId="9" fontId="1" fillId="0" borderId="0" xfId="0" quotePrefix="1" applyNumberFormat="1" applyFont="1" applyAlignment="1">
      <alignment wrapText="1"/>
    </xf>
    <xf numFmtId="165" fontId="1" fillId="0" borderId="3" xfId="0" applyNumberFormat="1" applyFont="1" applyBorder="1"/>
    <xf numFmtId="165" fontId="0" fillId="0" borderId="12" xfId="0" applyNumberFormat="1" applyBorder="1"/>
    <xf numFmtId="165" fontId="0" fillId="0" borderId="7" xfId="0" applyNumberFormat="1" applyBorder="1"/>
    <xf numFmtId="165" fontId="0" fillId="0" borderId="10" xfId="0" applyNumberFormat="1" applyBorder="1"/>
    <xf numFmtId="0" fontId="1" fillId="0" borderId="4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/>
    <xf numFmtId="0" fontId="1" fillId="0" borderId="10" xfId="0" applyFont="1" applyBorder="1"/>
    <xf numFmtId="0" fontId="14" fillId="0" borderId="13" xfId="0" applyFont="1" applyBorder="1"/>
    <xf numFmtId="164" fontId="1" fillId="0" borderId="0" xfId="0" applyNumberFormat="1" applyFont="1"/>
    <xf numFmtId="0" fontId="15" fillId="0" borderId="0" xfId="0" applyFont="1"/>
    <xf numFmtId="6" fontId="15" fillId="0" borderId="0" xfId="0" applyNumberFormat="1" applyFont="1"/>
    <xf numFmtId="6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5" fontId="1" fillId="0" borderId="0" xfId="0" applyNumberFormat="1" applyFont="1"/>
    <xf numFmtId="165" fontId="0" fillId="0" borderId="9" xfId="0" applyNumberFormat="1" applyBorder="1"/>
    <xf numFmtId="165" fontId="0" fillId="0" borderId="1" xfId="0" applyNumberFormat="1" applyBorder="1"/>
    <xf numFmtId="165" fontId="1" fillId="0" borderId="0" xfId="0" applyNumberFormat="1" applyFont="1" applyAlignment="1">
      <alignment horizontal="left"/>
    </xf>
    <xf numFmtId="165" fontId="0" fillId="0" borderId="0" xfId="0" applyNumberFormat="1" applyAlignment="1">
      <alignment horizontal="right"/>
    </xf>
    <xf numFmtId="165" fontId="1" fillId="0" borderId="2" xfId="0" applyNumberFormat="1" applyFont="1" applyBorder="1"/>
    <xf numFmtId="165" fontId="0" fillId="0" borderId="2" xfId="0" applyNumberFormat="1" applyBorder="1"/>
    <xf numFmtId="165" fontId="0" fillId="0" borderId="2" xfId="0" applyNumberFormat="1" applyBorder="1" applyAlignment="1">
      <alignment horizontal="right"/>
    </xf>
    <xf numFmtId="165" fontId="0" fillId="0" borderId="15" xfId="0" applyNumberFormat="1" applyBorder="1"/>
    <xf numFmtId="0" fontId="1" fillId="0" borderId="16" xfId="0" applyFont="1" applyBorder="1" applyAlignment="1">
      <alignment wrapText="1"/>
    </xf>
    <xf numFmtId="165" fontId="0" fillId="0" borderId="16" xfId="0" applyNumberFormat="1" applyBorder="1"/>
    <xf numFmtId="165" fontId="0" fillId="0" borderId="17" xfId="0" applyNumberFormat="1" applyBorder="1"/>
    <xf numFmtId="0" fontId="0" fillId="0" borderId="18" xfId="0" applyBorder="1" applyAlignment="1">
      <alignment wrapText="1"/>
    </xf>
    <xf numFmtId="0" fontId="0" fillId="0" borderId="18" xfId="0" applyBorder="1"/>
    <xf numFmtId="0" fontId="1" fillId="0" borderId="21" xfId="0" applyFont="1" applyBorder="1" applyAlignment="1">
      <alignment wrapText="1"/>
    </xf>
    <xf numFmtId="165" fontId="1" fillId="0" borderId="21" xfId="0" applyNumberFormat="1" applyFont="1" applyBorder="1"/>
    <xf numFmtId="0" fontId="1" fillId="0" borderId="21" xfId="0" applyFont="1" applyBorder="1"/>
    <xf numFmtId="0" fontId="0" fillId="0" borderId="22" xfId="0" applyBorder="1" applyAlignment="1">
      <alignment wrapText="1"/>
    </xf>
    <xf numFmtId="164" fontId="0" fillId="0" borderId="22" xfId="0" applyNumberFormat="1" applyBorder="1"/>
    <xf numFmtId="10" fontId="0" fillId="0" borderId="0" xfId="0" applyNumberFormat="1"/>
    <xf numFmtId="9" fontId="0" fillId="0" borderId="0" xfId="0" applyNumberFormat="1"/>
    <xf numFmtId="49" fontId="5" fillId="0" borderId="2" xfId="0" applyNumberFormat="1" applyFont="1" applyBorder="1" applyAlignment="1">
      <alignment horizontal="center" vertical="top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164" fontId="1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 Cash Flow'!$E$1</c:f>
              <c:strCache>
                <c:ptCount val="1"/>
                <c:pt idx="0">
                  <c:v>Net Cash 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'P1 Cash Flow'!$A$2:$A$12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'P1 Cash Flow'!$E$2:$E$12</c:f>
              <c:numCache>
                <c:formatCode>"$"#,##0</c:formatCode>
                <c:ptCount val="11"/>
                <c:pt idx="0">
                  <c:v>4247971.3600000003</c:v>
                </c:pt>
                <c:pt idx="1">
                  <c:v>4700711.3600000003</c:v>
                </c:pt>
                <c:pt idx="2">
                  <c:v>5450198.8600000003</c:v>
                </c:pt>
                <c:pt idx="3">
                  <c:v>6267298.2350000003</c:v>
                </c:pt>
                <c:pt idx="4">
                  <c:v>7202872.5787500003</c:v>
                </c:pt>
                <c:pt idx="5">
                  <c:v>8299306.2796874996</c:v>
                </c:pt>
                <c:pt idx="6">
                  <c:v>9588060.7936718762</c:v>
                </c:pt>
                <c:pt idx="7">
                  <c:v>10991775.053355468</c:v>
                </c:pt>
                <c:pt idx="8">
                  <c:v>12598514.358023241</c:v>
                </c:pt>
                <c:pt idx="9">
                  <c:v>14437521.244124405</c:v>
                </c:pt>
                <c:pt idx="10">
                  <c:v>16464119.118950624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7-4AF0-B659-132B8F069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899119"/>
        <c:axId val="1296887599"/>
      </c:barChart>
      <c:catAx>
        <c:axId val="129689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87599"/>
        <c:crosses val="autoZero"/>
        <c:auto val="1"/>
        <c:lblAlgn val="ctr"/>
        <c:lblOffset val="100"/>
        <c:noMultiLvlLbl val="0"/>
      </c:catAx>
      <c:valAx>
        <c:axId val="129688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9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72390</xdr:rowOff>
    </xdr:from>
    <xdr:to>
      <xdr:col>5</xdr:col>
      <xdr:colOff>320040</xdr:colOff>
      <xdr:row>28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B05CE7-DD9D-87E1-89EC-EC2DB7AA6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enton,Michael" id="{52A86B2C-72E8-4BC4-AAB4-02C214CA1437}" userId="S::mpf24@drexel.edu::f5d77d67-5cfc-4f91-8b98-a546b09355f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3-01T00:54:12.69" personId="{52A86B2C-72E8-4BC4-AAB4-02C214CA1437}" id="{A010E258-30E6-41BD-BE43-444AE13F5B30}">
    <text>I estimated what the total of weeks of work (over lapping tasks, considering resources, and dependencies).
I might wrap this into the WBS or hide the column.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0"/>
  <sheetViews>
    <sheetView zoomScale="70" zoomScaleNormal="70" workbookViewId="0">
      <selection activeCell="K72" sqref="K72"/>
    </sheetView>
  </sheetViews>
  <sheetFormatPr defaultRowHeight="14.4" x14ac:dyDescent="0.3"/>
  <cols>
    <col min="1" max="1" width="10.109375" style="18" customWidth="1"/>
    <col min="2" max="2" width="46.33203125" style="13" customWidth="1"/>
    <col min="3" max="3" width="17.6640625" style="12" customWidth="1"/>
    <col min="4" max="4" width="22" style="12" bestFit="1" customWidth="1"/>
    <col min="5" max="5" width="10.88671875" style="14" customWidth="1"/>
    <col min="6" max="6" width="13.5546875" style="14" bestFit="1" customWidth="1"/>
    <col min="7" max="7" width="13.88671875" style="48" customWidth="1"/>
    <col min="8" max="8" width="17.109375" style="48" customWidth="1"/>
    <col min="9" max="9" width="9.109375" style="17"/>
    <col min="10" max="10" width="0" hidden="1" customWidth="1"/>
    <col min="11" max="11" width="17.88671875" customWidth="1"/>
    <col min="12" max="12" width="12" customWidth="1"/>
  </cols>
  <sheetData>
    <row r="1" spans="1:10" s="2" customFormat="1" ht="28.8" x14ac:dyDescent="0.3">
      <c r="A1" s="20" t="s">
        <v>0</v>
      </c>
      <c r="B1" s="21" t="s">
        <v>1</v>
      </c>
      <c r="C1" s="22" t="s">
        <v>2</v>
      </c>
      <c r="D1" s="22" t="s">
        <v>3</v>
      </c>
      <c r="E1" s="22" t="s">
        <v>4</v>
      </c>
      <c r="F1" s="23" t="s">
        <v>5</v>
      </c>
      <c r="G1" s="42" t="s">
        <v>6</v>
      </c>
      <c r="H1" s="42" t="s">
        <v>7</v>
      </c>
      <c r="J1" s="15" t="s">
        <v>8</v>
      </c>
    </row>
    <row r="2" spans="1:10" s="3" customFormat="1" ht="18" x14ac:dyDescent="0.35">
      <c r="A2" s="24" t="s">
        <v>9</v>
      </c>
      <c r="B2" s="25" t="s">
        <v>10</v>
      </c>
      <c r="C2" s="26"/>
      <c r="D2" s="26"/>
      <c r="E2" s="27"/>
      <c r="F2" s="27"/>
      <c r="G2" s="49"/>
      <c r="H2" s="43">
        <f>SUM(G3,G9,G17)</f>
        <v>35672</v>
      </c>
      <c r="J2" s="16"/>
    </row>
    <row r="3" spans="1:10" s="4" customFormat="1" ht="15.6" x14ac:dyDescent="0.3">
      <c r="A3" s="28">
        <v>1.1000000000000001</v>
      </c>
      <c r="B3" s="29" t="s">
        <v>11</v>
      </c>
      <c r="C3" s="30"/>
      <c r="D3" s="30"/>
      <c r="E3" s="31"/>
      <c r="F3" s="31"/>
      <c r="G3" s="50">
        <f>SUM(G4:G8)</f>
        <v>2880</v>
      </c>
      <c r="H3" s="44"/>
      <c r="J3" s="17">
        <v>2.5</v>
      </c>
    </row>
    <row r="4" spans="1:10" x14ac:dyDescent="0.3">
      <c r="A4" s="32" t="s">
        <v>12</v>
      </c>
      <c r="B4" s="33" t="s">
        <v>13</v>
      </c>
      <c r="C4" s="34" t="s">
        <v>14</v>
      </c>
      <c r="D4" s="34" t="s">
        <v>15</v>
      </c>
      <c r="E4" s="35">
        <v>1</v>
      </c>
      <c r="F4" s="35">
        <v>10</v>
      </c>
      <c r="G4" s="45">
        <f>'Proposal 1 Resources'!$B$2*'Proposal 1 WBS'!F4</f>
        <v>480</v>
      </c>
      <c r="H4" s="45"/>
      <c r="J4" s="17"/>
    </row>
    <row r="5" spans="1:10" x14ac:dyDescent="0.3">
      <c r="A5" s="32" t="s">
        <v>16</v>
      </c>
      <c r="B5" s="33" t="s">
        <v>17</v>
      </c>
      <c r="C5" s="34" t="s">
        <v>14</v>
      </c>
      <c r="D5" s="34" t="s">
        <v>15</v>
      </c>
      <c r="E5" s="35">
        <v>1</v>
      </c>
      <c r="F5" s="35">
        <v>10</v>
      </c>
      <c r="G5" s="45">
        <f>'Proposal 1 Resources'!$B$2*'Proposal 1 WBS'!F5</f>
        <v>480</v>
      </c>
      <c r="H5" s="45"/>
      <c r="J5" s="17"/>
    </row>
    <row r="6" spans="1:10" x14ac:dyDescent="0.3">
      <c r="A6" s="32" t="s">
        <v>18</v>
      </c>
      <c r="B6" s="33" t="s">
        <v>19</v>
      </c>
      <c r="C6" s="34" t="s">
        <v>14</v>
      </c>
      <c r="D6" s="34" t="s">
        <v>15</v>
      </c>
      <c r="E6" s="35">
        <v>1</v>
      </c>
      <c r="F6" s="35">
        <v>10</v>
      </c>
      <c r="G6" s="45">
        <f>'Proposal 1 Resources'!$B$2*'Proposal 1 WBS'!F6</f>
        <v>480</v>
      </c>
      <c r="H6" s="45"/>
    </row>
    <row r="7" spans="1:10" x14ac:dyDescent="0.3">
      <c r="A7" s="32" t="s">
        <v>20</v>
      </c>
      <c r="B7" s="33" t="s">
        <v>21</v>
      </c>
      <c r="C7" s="34" t="s">
        <v>14</v>
      </c>
      <c r="D7" s="34" t="s">
        <v>15</v>
      </c>
      <c r="E7" s="35">
        <v>1</v>
      </c>
      <c r="F7" s="35">
        <v>10</v>
      </c>
      <c r="G7" s="45">
        <f>'Proposal 1 Resources'!$B$2*'Proposal 1 WBS'!F7</f>
        <v>480</v>
      </c>
      <c r="H7" s="45"/>
      <c r="J7" s="17"/>
    </row>
    <row r="8" spans="1:10" x14ac:dyDescent="0.3">
      <c r="A8" s="32" t="s">
        <v>22</v>
      </c>
      <c r="B8" s="33" t="s">
        <v>23</v>
      </c>
      <c r="C8" s="34" t="s">
        <v>14</v>
      </c>
      <c r="D8" s="34" t="s">
        <v>24</v>
      </c>
      <c r="E8" s="35">
        <v>1</v>
      </c>
      <c r="F8" s="35">
        <v>20</v>
      </c>
      <c r="G8" s="45">
        <f>'Proposal 1 Resources'!$B$2*'Proposal 1 WBS'!F8</f>
        <v>960</v>
      </c>
      <c r="H8" s="45"/>
      <c r="J8" s="17"/>
    </row>
    <row r="9" spans="1:10" s="5" customFormat="1" ht="15.6" x14ac:dyDescent="0.3">
      <c r="A9" s="28">
        <v>1.2</v>
      </c>
      <c r="B9" s="29" t="s">
        <v>25</v>
      </c>
      <c r="C9" s="36"/>
      <c r="D9" s="36"/>
      <c r="E9" s="37"/>
      <c r="F9" s="37"/>
      <c r="G9" s="50">
        <f>SUM(G10:G16)</f>
        <v>7752</v>
      </c>
      <c r="H9" s="46"/>
      <c r="J9" s="17">
        <v>5</v>
      </c>
    </row>
    <row r="10" spans="1:10" x14ac:dyDescent="0.3">
      <c r="A10" s="32" t="s">
        <v>26</v>
      </c>
      <c r="B10" s="33" t="s">
        <v>27</v>
      </c>
      <c r="C10" s="34" t="s">
        <v>28</v>
      </c>
      <c r="D10" s="34" t="s">
        <v>22</v>
      </c>
      <c r="E10" s="35">
        <v>1</v>
      </c>
      <c r="F10" s="35">
        <v>20</v>
      </c>
      <c r="G10" s="45">
        <f>'Proposal 1 Resources'!$B$8*'Proposal 1 WBS'!F10</f>
        <v>760</v>
      </c>
      <c r="H10" s="45"/>
    </row>
    <row r="11" spans="1:10" x14ac:dyDescent="0.3">
      <c r="A11" s="32" t="s">
        <v>29</v>
      </c>
      <c r="B11" s="33" t="s">
        <v>30</v>
      </c>
      <c r="C11" s="34" t="s">
        <v>28</v>
      </c>
      <c r="D11" s="34" t="s">
        <v>26</v>
      </c>
      <c r="E11" s="35">
        <v>1</v>
      </c>
      <c r="F11" s="35">
        <v>20</v>
      </c>
      <c r="G11" s="45">
        <f>'Proposal 1 Resources'!$B$8*'Proposal 1 WBS'!F11</f>
        <v>760</v>
      </c>
      <c r="H11" s="45"/>
      <c r="J11" s="17"/>
    </row>
    <row r="12" spans="1:10" x14ac:dyDescent="0.3">
      <c r="A12" s="32" t="s">
        <v>31</v>
      </c>
      <c r="B12" s="33" t="s">
        <v>32</v>
      </c>
      <c r="C12" s="34" t="s">
        <v>28</v>
      </c>
      <c r="D12" s="34" t="s">
        <v>29</v>
      </c>
      <c r="E12" s="35">
        <v>1</v>
      </c>
      <c r="F12" s="35">
        <v>40</v>
      </c>
      <c r="G12" s="45">
        <f>'Proposal 1 Resources'!$B$8*'Proposal 1 WBS'!F12</f>
        <v>1520</v>
      </c>
      <c r="H12" s="45"/>
      <c r="J12" s="17"/>
    </row>
    <row r="13" spans="1:10" x14ac:dyDescent="0.3">
      <c r="A13" s="32" t="s">
        <v>33</v>
      </c>
      <c r="B13" s="33" t="s">
        <v>34</v>
      </c>
      <c r="C13" s="34" t="s">
        <v>28</v>
      </c>
      <c r="D13" s="34" t="s">
        <v>31</v>
      </c>
      <c r="E13" s="35">
        <v>1</v>
      </c>
      <c r="F13" s="35">
        <v>40</v>
      </c>
      <c r="G13" s="45">
        <f>'Proposal 1 Resources'!$B$8*'Proposal 1 WBS'!F13</f>
        <v>1520</v>
      </c>
      <c r="H13" s="45"/>
      <c r="J13" s="17"/>
    </row>
    <row r="14" spans="1:10" x14ac:dyDescent="0.3">
      <c r="A14" s="32" t="s">
        <v>35</v>
      </c>
      <c r="B14" s="33" t="s">
        <v>36</v>
      </c>
      <c r="C14" s="34" t="s">
        <v>28</v>
      </c>
      <c r="D14" s="34" t="s">
        <v>33</v>
      </c>
      <c r="E14" s="35">
        <v>1</v>
      </c>
      <c r="F14" s="35">
        <v>40</v>
      </c>
      <c r="G14" s="45">
        <f>'Proposal 1 Resources'!$B$8*'Proposal 1 WBS'!F14</f>
        <v>1520</v>
      </c>
      <c r="H14" s="45"/>
      <c r="J14" s="17"/>
    </row>
    <row r="15" spans="1:10" x14ac:dyDescent="0.3">
      <c r="A15" s="32" t="s">
        <v>37</v>
      </c>
      <c r="B15" s="33" t="s">
        <v>38</v>
      </c>
      <c r="C15" s="34" t="s">
        <v>28</v>
      </c>
      <c r="D15" s="34" t="s">
        <v>35</v>
      </c>
      <c r="E15" s="35">
        <v>1</v>
      </c>
      <c r="F15" s="35">
        <v>20</v>
      </c>
      <c r="G15" s="45">
        <f>'Proposal 1 Resources'!$B$8*'Proposal 1 WBS'!F15</f>
        <v>760</v>
      </c>
      <c r="H15" s="45"/>
      <c r="J15" s="17"/>
    </row>
    <row r="16" spans="1:10" x14ac:dyDescent="0.3">
      <c r="A16" s="32" t="s">
        <v>39</v>
      </c>
      <c r="B16" s="33" t="s">
        <v>40</v>
      </c>
      <c r="C16" s="34" t="s">
        <v>28</v>
      </c>
      <c r="D16" s="34" t="s">
        <v>37</v>
      </c>
      <c r="E16" s="35">
        <v>1</v>
      </c>
      <c r="F16" s="35">
        <v>24</v>
      </c>
      <c r="G16" s="45">
        <f>'Proposal 1 Resources'!$B$8*'Proposal 1 WBS'!F16</f>
        <v>912</v>
      </c>
      <c r="H16" s="45"/>
      <c r="J16" s="17"/>
    </row>
    <row r="17" spans="1:10" s="5" customFormat="1" ht="15.6" x14ac:dyDescent="0.3">
      <c r="A17" s="28">
        <v>1.3</v>
      </c>
      <c r="B17" s="29" t="s">
        <v>41</v>
      </c>
      <c r="C17" s="36"/>
      <c r="D17" s="36"/>
      <c r="E17" s="37"/>
      <c r="F17" s="37"/>
      <c r="G17" s="50">
        <f>G18</f>
        <v>25040</v>
      </c>
      <c r="H17" s="46"/>
      <c r="J17" s="17">
        <v>1</v>
      </c>
    </row>
    <row r="18" spans="1:10" s="14" customFormat="1" ht="57.6" x14ac:dyDescent="0.3">
      <c r="A18" s="32" t="s">
        <v>42</v>
      </c>
      <c r="B18" s="33" t="s">
        <v>43</v>
      </c>
      <c r="C18" s="34" t="s">
        <v>44</v>
      </c>
      <c r="D18" s="34" t="s">
        <v>39</v>
      </c>
      <c r="E18" s="35">
        <v>4</v>
      </c>
      <c r="F18" s="35">
        <v>40</v>
      </c>
      <c r="G18" s="45">
        <f>('Proposal 1 Resources'!B9 + 'Proposal 1 Resources'!B3 + 'Proposal 1 Resources'!B4 + 'Proposal 1 Resources'!B4)*'Proposal 1 WBS'!F18</f>
        <v>25040</v>
      </c>
      <c r="H18" s="45"/>
      <c r="I18" s="12"/>
    </row>
    <row r="19" spans="1:10" s="4" customFormat="1" ht="15.6" x14ac:dyDescent="0.3">
      <c r="A19" s="28" t="s">
        <v>45</v>
      </c>
      <c r="B19" s="29" t="s">
        <v>46</v>
      </c>
      <c r="C19" s="30"/>
      <c r="D19" s="30"/>
      <c r="E19" s="31"/>
      <c r="F19" s="31"/>
      <c r="G19" s="44"/>
      <c r="H19" s="44"/>
      <c r="J19" s="11"/>
    </row>
    <row r="20" spans="1:10" x14ac:dyDescent="0.3">
      <c r="A20" s="32"/>
      <c r="B20" s="33"/>
      <c r="C20" s="34"/>
      <c r="D20" s="34"/>
      <c r="E20" s="35"/>
      <c r="F20" s="35"/>
      <c r="G20" s="45"/>
      <c r="H20" s="45"/>
      <c r="J20" s="17"/>
    </row>
    <row r="21" spans="1:10" s="6" customFormat="1" ht="18" x14ac:dyDescent="0.35">
      <c r="A21" s="24">
        <v>2</v>
      </c>
      <c r="B21" s="25" t="s">
        <v>47</v>
      </c>
      <c r="C21" s="38"/>
      <c r="D21" s="38"/>
      <c r="E21" s="19"/>
      <c r="F21" s="19"/>
      <c r="G21" s="47"/>
      <c r="H21" s="43">
        <f>SUM(G22,G27,G34)</f>
        <v>21744</v>
      </c>
      <c r="J21" s="16"/>
    </row>
    <row r="22" spans="1:10" s="4" customFormat="1" ht="15.6" x14ac:dyDescent="0.3">
      <c r="A22" s="28" t="s">
        <v>48</v>
      </c>
      <c r="B22" s="29" t="s">
        <v>49</v>
      </c>
      <c r="C22" s="30"/>
      <c r="D22" s="30"/>
      <c r="E22" s="31"/>
      <c r="F22" s="31"/>
      <c r="G22" s="50">
        <f>SUM(G23:G26)</f>
        <v>5472</v>
      </c>
      <c r="H22" s="44"/>
      <c r="J22" s="17">
        <v>4</v>
      </c>
    </row>
    <row r="23" spans="1:10" x14ac:dyDescent="0.3">
      <c r="A23" s="32" t="s">
        <v>50</v>
      </c>
      <c r="B23" s="33" t="s">
        <v>51</v>
      </c>
      <c r="C23" s="34" t="s">
        <v>52</v>
      </c>
      <c r="D23" s="34" t="s">
        <v>42</v>
      </c>
      <c r="E23" s="35">
        <v>1</v>
      </c>
      <c r="F23" s="35">
        <v>80</v>
      </c>
      <c r="G23" s="45">
        <f>'Proposal 1 Resources'!$B$6*'Proposal 1 WBS'!F23</f>
        <v>2880</v>
      </c>
      <c r="H23" s="45"/>
    </row>
    <row r="24" spans="1:10" x14ac:dyDescent="0.3">
      <c r="A24" s="32" t="s">
        <v>53</v>
      </c>
      <c r="B24" s="33" t="s">
        <v>54</v>
      </c>
      <c r="C24" s="34" t="s">
        <v>52</v>
      </c>
      <c r="D24" s="34" t="s">
        <v>50</v>
      </c>
      <c r="E24" s="35">
        <v>1</v>
      </c>
      <c r="F24" s="35">
        <v>16</v>
      </c>
      <c r="G24" s="45">
        <f>'Proposal 1 Resources'!$B$6*'Proposal 1 WBS'!F24</f>
        <v>576</v>
      </c>
      <c r="H24" s="45"/>
      <c r="J24" s="17"/>
    </row>
    <row r="25" spans="1:10" x14ac:dyDescent="0.3">
      <c r="A25" s="32" t="s">
        <v>55</v>
      </c>
      <c r="B25" s="33" t="s">
        <v>56</v>
      </c>
      <c r="C25" s="34" t="s">
        <v>52</v>
      </c>
      <c r="D25" s="34" t="s">
        <v>53</v>
      </c>
      <c r="E25" s="35">
        <v>1</v>
      </c>
      <c r="F25" s="35">
        <v>40</v>
      </c>
      <c r="G25" s="45">
        <f>'Proposal 1 Resources'!$B$6*'Proposal 1 WBS'!F25</f>
        <v>1440</v>
      </c>
      <c r="H25" s="45"/>
      <c r="J25" s="17"/>
    </row>
    <row r="26" spans="1:10" x14ac:dyDescent="0.3">
      <c r="A26" s="32" t="s">
        <v>57</v>
      </c>
      <c r="B26" s="33" t="s">
        <v>58</v>
      </c>
      <c r="C26" s="34" t="s">
        <v>52</v>
      </c>
      <c r="D26" s="34" t="s">
        <v>55</v>
      </c>
      <c r="E26" s="35">
        <v>1</v>
      </c>
      <c r="F26" s="35">
        <v>16</v>
      </c>
      <c r="G26" s="45">
        <f>'Proposal 1 Resources'!$B$6*'Proposal 1 WBS'!F26</f>
        <v>576</v>
      </c>
      <c r="H26" s="45"/>
      <c r="J26" s="17"/>
    </row>
    <row r="27" spans="1:10" s="4" customFormat="1" ht="15.6" x14ac:dyDescent="0.3">
      <c r="A27" s="28" t="s">
        <v>59</v>
      </c>
      <c r="B27" s="29" t="s">
        <v>60</v>
      </c>
      <c r="C27" s="30"/>
      <c r="D27" s="30"/>
      <c r="E27" s="31"/>
      <c r="F27" s="31"/>
      <c r="G27" s="50">
        <f>SUM(G28:G33)</f>
        <v>12960</v>
      </c>
      <c r="H27" s="44"/>
      <c r="J27" s="17">
        <v>9</v>
      </c>
    </row>
    <row r="28" spans="1:10" x14ac:dyDescent="0.3">
      <c r="A28" s="32" t="s">
        <v>61</v>
      </c>
      <c r="B28" s="33" t="s">
        <v>62</v>
      </c>
      <c r="C28" s="34" t="s">
        <v>52</v>
      </c>
      <c r="D28" s="34" t="s">
        <v>55</v>
      </c>
      <c r="E28" s="35">
        <v>1</v>
      </c>
      <c r="F28" s="35">
        <v>60</v>
      </c>
      <c r="G28" s="45">
        <f>'Proposal 1 Resources'!$B$6*'Proposal 1 WBS'!F28</f>
        <v>2160</v>
      </c>
      <c r="H28" s="45"/>
      <c r="J28" s="17"/>
    </row>
    <row r="29" spans="1:10" x14ac:dyDescent="0.3">
      <c r="A29" s="32" t="s">
        <v>63</v>
      </c>
      <c r="B29" s="33" t="s">
        <v>64</v>
      </c>
      <c r="C29" s="34" t="s">
        <v>52</v>
      </c>
      <c r="D29" s="34" t="s">
        <v>55</v>
      </c>
      <c r="E29" s="35">
        <v>1</v>
      </c>
      <c r="F29" s="35">
        <v>60</v>
      </c>
      <c r="G29" s="45">
        <f>'Proposal 1 Resources'!$B$6*'Proposal 1 WBS'!F29</f>
        <v>2160</v>
      </c>
      <c r="H29" s="45"/>
    </row>
    <row r="30" spans="1:10" x14ac:dyDescent="0.3">
      <c r="A30" s="32" t="s">
        <v>65</v>
      </c>
      <c r="B30" s="33" t="s">
        <v>66</v>
      </c>
      <c r="C30" s="34" t="s">
        <v>52</v>
      </c>
      <c r="D30" s="34" t="s">
        <v>55</v>
      </c>
      <c r="E30" s="35">
        <v>1</v>
      </c>
      <c r="F30" s="35">
        <v>60</v>
      </c>
      <c r="G30" s="45">
        <f>'Proposal 1 Resources'!$B$6*'Proposal 1 WBS'!F30</f>
        <v>2160</v>
      </c>
      <c r="H30" s="45"/>
      <c r="J30" s="17"/>
    </row>
    <row r="31" spans="1:10" x14ac:dyDescent="0.3">
      <c r="A31" s="32" t="s">
        <v>67</v>
      </c>
      <c r="B31" s="33" t="s">
        <v>68</v>
      </c>
      <c r="C31" s="34" t="s">
        <v>52</v>
      </c>
      <c r="D31" s="34" t="s">
        <v>55</v>
      </c>
      <c r="E31" s="35">
        <v>1</v>
      </c>
      <c r="F31" s="35">
        <v>60</v>
      </c>
      <c r="G31" s="45">
        <f>'Proposal 1 Resources'!$B$6*'Proposal 1 WBS'!F31</f>
        <v>2160</v>
      </c>
      <c r="H31" s="45"/>
      <c r="J31" s="17"/>
    </row>
    <row r="32" spans="1:10" x14ac:dyDescent="0.3">
      <c r="A32" s="32" t="s">
        <v>69</v>
      </c>
      <c r="B32" s="33" t="s">
        <v>70</v>
      </c>
      <c r="C32" s="34" t="s">
        <v>52</v>
      </c>
      <c r="D32" s="34" t="s">
        <v>55</v>
      </c>
      <c r="E32" s="35">
        <v>1</v>
      </c>
      <c r="F32" s="35">
        <v>60</v>
      </c>
      <c r="G32" s="45">
        <f>'Proposal 1 Resources'!$B$6*'Proposal 1 WBS'!F32</f>
        <v>2160</v>
      </c>
      <c r="H32" s="45"/>
      <c r="J32" s="17"/>
    </row>
    <row r="33" spans="1:10" x14ac:dyDescent="0.3">
      <c r="A33" s="32" t="s">
        <v>71</v>
      </c>
      <c r="B33" s="33" t="s">
        <v>72</v>
      </c>
      <c r="C33" s="34" t="s">
        <v>52</v>
      </c>
      <c r="D33" s="34" t="s">
        <v>55</v>
      </c>
      <c r="E33" s="35">
        <v>1</v>
      </c>
      <c r="F33" s="35">
        <v>60</v>
      </c>
      <c r="G33" s="45">
        <f>'Proposal 1 Resources'!$B$6*'Proposal 1 WBS'!F33</f>
        <v>2160</v>
      </c>
      <c r="H33" s="45"/>
      <c r="J33" s="17"/>
    </row>
    <row r="34" spans="1:10" s="4" customFormat="1" ht="15.6" x14ac:dyDescent="0.3">
      <c r="A34" s="28" t="s">
        <v>73</v>
      </c>
      <c r="B34" s="29" t="s">
        <v>74</v>
      </c>
      <c r="C34" s="30"/>
      <c r="D34" s="30"/>
      <c r="E34" s="31"/>
      <c r="F34" s="31"/>
      <c r="G34" s="50">
        <f>SUM(G35:G37)</f>
        <v>3312</v>
      </c>
      <c r="H34" s="44"/>
      <c r="J34" s="17">
        <v>2.5</v>
      </c>
    </row>
    <row r="35" spans="1:10" ht="28.8" x14ac:dyDescent="0.3">
      <c r="A35" s="32" t="s">
        <v>75</v>
      </c>
      <c r="B35" s="33" t="s">
        <v>76</v>
      </c>
      <c r="C35" s="34" t="s">
        <v>52</v>
      </c>
      <c r="D35" s="34" t="s">
        <v>77</v>
      </c>
      <c r="E35" s="35">
        <v>1</v>
      </c>
      <c r="F35" s="35">
        <v>16</v>
      </c>
      <c r="G35" s="45">
        <f>'Proposal 1 Resources'!$B$6*'Proposal 1 WBS'!F35</f>
        <v>576</v>
      </c>
      <c r="H35" s="45"/>
      <c r="J35" s="17"/>
    </row>
    <row r="36" spans="1:10" x14ac:dyDescent="0.3">
      <c r="A36" s="32" t="s">
        <v>78</v>
      </c>
      <c r="B36" s="33" t="s">
        <v>79</v>
      </c>
      <c r="C36" s="34" t="s">
        <v>52</v>
      </c>
      <c r="D36" s="34" t="s">
        <v>75</v>
      </c>
      <c r="E36" s="35">
        <v>1</v>
      </c>
      <c r="F36" s="35">
        <v>60</v>
      </c>
      <c r="G36" s="45">
        <f>'Proposal 1 Resources'!$B$6*'Proposal 1 WBS'!F36</f>
        <v>2160</v>
      </c>
      <c r="H36" s="45"/>
    </row>
    <row r="37" spans="1:10" x14ac:dyDescent="0.3">
      <c r="A37" s="32" t="s">
        <v>80</v>
      </c>
      <c r="B37" s="33" t="s">
        <v>81</v>
      </c>
      <c r="C37" s="34" t="s">
        <v>52</v>
      </c>
      <c r="D37" s="34" t="s">
        <v>78</v>
      </c>
      <c r="E37" s="35">
        <v>1</v>
      </c>
      <c r="F37" s="35">
        <v>16</v>
      </c>
      <c r="G37" s="45">
        <f>'Proposal 1 Resources'!$B$6*'Proposal 1 WBS'!F37</f>
        <v>576</v>
      </c>
      <c r="H37" s="45"/>
      <c r="J37" s="17"/>
    </row>
    <row r="38" spans="1:10" s="4" customFormat="1" ht="15.6" x14ac:dyDescent="0.3">
      <c r="A38" s="28" t="s">
        <v>82</v>
      </c>
      <c r="B38" s="29" t="s">
        <v>83</v>
      </c>
      <c r="C38" s="30"/>
      <c r="D38" s="30"/>
      <c r="E38" s="31"/>
      <c r="F38" s="31"/>
      <c r="G38" s="44"/>
      <c r="H38" s="44"/>
      <c r="J38" s="11"/>
    </row>
    <row r="39" spans="1:10" x14ac:dyDescent="0.3">
      <c r="A39" s="32"/>
      <c r="B39" s="33"/>
      <c r="C39" s="34"/>
      <c r="D39" s="34"/>
      <c r="E39" s="35"/>
      <c r="F39" s="35"/>
      <c r="G39" s="45"/>
      <c r="H39" s="45"/>
      <c r="J39" s="17"/>
    </row>
    <row r="40" spans="1:10" s="6" customFormat="1" ht="18" x14ac:dyDescent="0.35">
      <c r="A40" s="24" t="s">
        <v>84</v>
      </c>
      <c r="B40" s="25" t="s">
        <v>85</v>
      </c>
      <c r="C40" s="38"/>
      <c r="D40" s="38"/>
      <c r="E40" s="19"/>
      <c r="F40" s="19"/>
      <c r="G40" s="47"/>
      <c r="H40" s="43">
        <f>SUM(G41,G46,G51,G56,G61,G66,G71,G76,G79)</f>
        <v>62856</v>
      </c>
      <c r="J40" s="16"/>
    </row>
    <row r="41" spans="1:10" s="4" customFormat="1" ht="15.6" x14ac:dyDescent="0.3">
      <c r="A41" s="28" t="s">
        <v>86</v>
      </c>
      <c r="B41" s="29" t="s">
        <v>87</v>
      </c>
      <c r="C41" s="30"/>
      <c r="D41" s="30"/>
      <c r="E41" s="31"/>
      <c r="F41" s="31"/>
      <c r="G41" s="50">
        <f>SUM(G42:G45)</f>
        <v>7440</v>
      </c>
      <c r="H41" s="44"/>
      <c r="J41" s="17">
        <v>2</v>
      </c>
    </row>
    <row r="42" spans="1:10" ht="15" customHeight="1" x14ac:dyDescent="0.3">
      <c r="A42" s="32" t="s">
        <v>88</v>
      </c>
      <c r="B42" s="33" t="s">
        <v>89</v>
      </c>
      <c r="C42" s="34" t="s">
        <v>90</v>
      </c>
      <c r="D42" s="34" t="s">
        <v>91</v>
      </c>
      <c r="E42" s="35">
        <v>1</v>
      </c>
      <c r="F42" s="35">
        <v>20</v>
      </c>
      <c r="G42" s="45">
        <f>'Proposal 1 Resources'!$B$3*'Proposal 1 WBS'!F42</f>
        <v>1200</v>
      </c>
      <c r="H42" s="45"/>
    </row>
    <row r="43" spans="1:10" ht="15" customHeight="1" x14ac:dyDescent="0.3">
      <c r="A43" s="32" t="s">
        <v>92</v>
      </c>
      <c r="B43" s="33" t="s">
        <v>93</v>
      </c>
      <c r="C43" s="34" t="s">
        <v>90</v>
      </c>
      <c r="D43" s="34" t="s">
        <v>88</v>
      </c>
      <c r="E43" s="35">
        <v>1</v>
      </c>
      <c r="F43" s="35">
        <v>60</v>
      </c>
      <c r="G43" s="45">
        <f>'Proposal 1 Resources'!$B$3*'Proposal 1 WBS'!F43</f>
        <v>3600</v>
      </c>
      <c r="H43" s="45"/>
      <c r="J43" s="17"/>
    </row>
    <row r="44" spans="1:10" ht="15" customHeight="1" x14ac:dyDescent="0.3">
      <c r="A44" s="32" t="s">
        <v>94</v>
      </c>
      <c r="B44" s="33" t="s">
        <v>95</v>
      </c>
      <c r="C44" s="34" t="s">
        <v>96</v>
      </c>
      <c r="D44" s="34" t="s">
        <v>88</v>
      </c>
      <c r="E44" s="35">
        <v>1</v>
      </c>
      <c r="F44" s="35">
        <v>40</v>
      </c>
      <c r="G44" s="45">
        <f>'Proposal 1 Resources'!$B$4*'Proposal 1 WBS'!F44*'Proposal 1 WBS'!E44</f>
        <v>1320</v>
      </c>
      <c r="H44" s="45"/>
      <c r="J44" s="17"/>
    </row>
    <row r="45" spans="1:10" x14ac:dyDescent="0.3">
      <c r="A45" s="32" t="s">
        <v>97</v>
      </c>
      <c r="B45" s="33" t="s">
        <v>98</v>
      </c>
      <c r="C45" s="34" t="s">
        <v>99</v>
      </c>
      <c r="D45" s="34" t="s">
        <v>88</v>
      </c>
      <c r="E45" s="35">
        <v>1</v>
      </c>
      <c r="F45" s="35">
        <v>40</v>
      </c>
      <c r="G45" s="45">
        <f>'Proposal 1 Resources'!$B$4*'Proposal 1 WBS'!F45*'Proposal 1 WBS'!E45</f>
        <v>1320</v>
      </c>
      <c r="H45" s="45"/>
      <c r="J45" s="17"/>
    </row>
    <row r="46" spans="1:10" s="4" customFormat="1" ht="15" customHeight="1" x14ac:dyDescent="0.3">
      <c r="A46" s="28" t="s">
        <v>100</v>
      </c>
      <c r="B46" s="29" t="s">
        <v>101</v>
      </c>
      <c r="C46" s="30"/>
      <c r="D46" s="30"/>
      <c r="E46" s="31"/>
      <c r="F46" s="31"/>
      <c r="G46" s="50">
        <f>SUM(G47:G50)</f>
        <v>7440</v>
      </c>
      <c r="H46" s="44"/>
      <c r="J46" s="17">
        <v>3</v>
      </c>
    </row>
    <row r="47" spans="1:10" ht="15" customHeight="1" x14ac:dyDescent="0.3">
      <c r="A47" s="32" t="s">
        <v>102</v>
      </c>
      <c r="B47" s="33" t="s">
        <v>103</v>
      </c>
      <c r="C47" s="34" t="s">
        <v>90</v>
      </c>
      <c r="D47" s="34" t="s">
        <v>91</v>
      </c>
      <c r="E47" s="35">
        <v>1</v>
      </c>
      <c r="F47" s="35">
        <v>20</v>
      </c>
      <c r="G47" s="45">
        <f>'Proposal 1 Resources'!$B$3*'Proposal 1 WBS'!F47</f>
        <v>1200</v>
      </c>
      <c r="H47" s="45"/>
    </row>
    <row r="48" spans="1:10" x14ac:dyDescent="0.3">
      <c r="A48" s="32" t="s">
        <v>104</v>
      </c>
      <c r="B48" s="33" t="s">
        <v>105</v>
      </c>
      <c r="C48" s="34" t="s">
        <v>90</v>
      </c>
      <c r="D48" s="34" t="s">
        <v>102</v>
      </c>
      <c r="E48" s="35">
        <v>1</v>
      </c>
      <c r="F48" s="35">
        <v>60</v>
      </c>
      <c r="G48" s="45">
        <f>'Proposal 1 Resources'!$B$3*'Proposal 1 WBS'!F48</f>
        <v>3600</v>
      </c>
      <c r="H48" s="45"/>
      <c r="J48" s="17"/>
    </row>
    <row r="49" spans="1:10" x14ac:dyDescent="0.3">
      <c r="A49" s="32" t="s">
        <v>106</v>
      </c>
      <c r="B49" s="33" t="s">
        <v>107</v>
      </c>
      <c r="C49" s="34" t="s">
        <v>96</v>
      </c>
      <c r="D49" s="34" t="s">
        <v>102</v>
      </c>
      <c r="E49" s="35">
        <v>1</v>
      </c>
      <c r="F49" s="35">
        <v>40</v>
      </c>
      <c r="G49" s="45">
        <f>'Proposal 1 Resources'!$B$4*'Proposal 1 WBS'!F49*'Proposal 1 WBS'!E49</f>
        <v>1320</v>
      </c>
      <c r="H49" s="45"/>
      <c r="J49" s="17"/>
    </row>
    <row r="50" spans="1:10" x14ac:dyDescent="0.3">
      <c r="A50" s="32" t="s">
        <v>108</v>
      </c>
      <c r="B50" s="33" t="s">
        <v>109</v>
      </c>
      <c r="C50" s="34" t="s">
        <v>99</v>
      </c>
      <c r="D50" s="34" t="s">
        <v>102</v>
      </c>
      <c r="E50" s="35">
        <v>1</v>
      </c>
      <c r="F50" s="35">
        <v>40</v>
      </c>
      <c r="G50" s="45">
        <f>'Proposal 1 Resources'!$B$4*'Proposal 1 WBS'!F50*'Proposal 1 WBS'!E50</f>
        <v>1320</v>
      </c>
      <c r="H50" s="45"/>
      <c r="J50" s="17"/>
    </row>
    <row r="51" spans="1:10" s="4" customFormat="1" ht="15.6" x14ac:dyDescent="0.3">
      <c r="A51" s="28" t="s">
        <v>110</v>
      </c>
      <c r="B51" s="29" t="s">
        <v>111</v>
      </c>
      <c r="C51" s="30"/>
      <c r="D51" s="30"/>
      <c r="E51" s="31"/>
      <c r="F51" s="31"/>
      <c r="G51" s="50">
        <f>SUM(G52:G55)</f>
        <v>7440</v>
      </c>
      <c r="H51" s="44"/>
      <c r="J51" s="17">
        <v>3</v>
      </c>
    </row>
    <row r="52" spans="1:10" x14ac:dyDescent="0.3">
      <c r="A52" s="32" t="s">
        <v>112</v>
      </c>
      <c r="B52" s="33" t="s">
        <v>113</v>
      </c>
      <c r="C52" s="34" t="s">
        <v>90</v>
      </c>
      <c r="D52" s="34" t="s">
        <v>91</v>
      </c>
      <c r="E52" s="35">
        <v>1</v>
      </c>
      <c r="F52" s="35">
        <v>20</v>
      </c>
      <c r="G52" s="45">
        <f>'Proposal 1 Resources'!$B$3*'Proposal 1 WBS'!F52</f>
        <v>1200</v>
      </c>
      <c r="H52" s="45"/>
    </row>
    <row r="53" spans="1:10" x14ac:dyDescent="0.3">
      <c r="A53" s="32" t="s">
        <v>114</v>
      </c>
      <c r="B53" s="33" t="s">
        <v>115</v>
      </c>
      <c r="C53" s="34" t="s">
        <v>90</v>
      </c>
      <c r="D53" s="34" t="s">
        <v>112</v>
      </c>
      <c r="E53" s="35">
        <v>1</v>
      </c>
      <c r="F53" s="35">
        <v>60</v>
      </c>
      <c r="G53" s="45">
        <f>'Proposal 1 Resources'!$B$3*'Proposal 1 WBS'!F53</f>
        <v>3600</v>
      </c>
      <c r="H53" s="45"/>
      <c r="J53" s="17"/>
    </row>
    <row r="54" spans="1:10" x14ac:dyDescent="0.3">
      <c r="A54" s="32" t="s">
        <v>116</v>
      </c>
      <c r="B54" s="33" t="s">
        <v>117</v>
      </c>
      <c r="C54" s="34" t="s">
        <v>96</v>
      </c>
      <c r="D54" s="34" t="s">
        <v>112</v>
      </c>
      <c r="E54" s="35">
        <v>1</v>
      </c>
      <c r="F54" s="35">
        <v>40</v>
      </c>
      <c r="G54" s="45">
        <f>'Proposal 1 Resources'!$B$4*'Proposal 1 WBS'!F54*'Proposal 1 WBS'!E54</f>
        <v>1320</v>
      </c>
      <c r="H54" s="45"/>
      <c r="J54" s="17"/>
    </row>
    <row r="55" spans="1:10" x14ac:dyDescent="0.3">
      <c r="A55" s="32" t="s">
        <v>118</v>
      </c>
      <c r="B55" s="33" t="s">
        <v>119</v>
      </c>
      <c r="C55" s="34" t="s">
        <v>99</v>
      </c>
      <c r="D55" s="34" t="s">
        <v>112</v>
      </c>
      <c r="E55" s="35">
        <v>1</v>
      </c>
      <c r="F55" s="35">
        <v>40</v>
      </c>
      <c r="G55" s="45">
        <f>'Proposal 1 Resources'!$B$4*'Proposal 1 WBS'!F55*'Proposal 1 WBS'!E55</f>
        <v>1320</v>
      </c>
      <c r="H55" s="45"/>
      <c r="J55" s="17"/>
    </row>
    <row r="56" spans="1:10" s="4" customFormat="1" ht="15.6" x14ac:dyDescent="0.3">
      <c r="A56" s="28" t="s">
        <v>120</v>
      </c>
      <c r="B56" s="29" t="s">
        <v>121</v>
      </c>
      <c r="C56" s="30"/>
      <c r="D56" s="30"/>
      <c r="E56" s="31"/>
      <c r="F56" s="31"/>
      <c r="G56" s="50">
        <f>SUM(G57:G60)</f>
        <v>7440</v>
      </c>
      <c r="H56" s="44"/>
      <c r="J56" s="17">
        <v>3</v>
      </c>
    </row>
    <row r="57" spans="1:10" x14ac:dyDescent="0.3">
      <c r="A57" s="32" t="s">
        <v>122</v>
      </c>
      <c r="B57" s="33" t="s">
        <v>123</v>
      </c>
      <c r="C57" s="34" t="s">
        <v>90</v>
      </c>
      <c r="D57" s="34" t="s">
        <v>91</v>
      </c>
      <c r="E57" s="35">
        <v>1</v>
      </c>
      <c r="F57" s="35">
        <v>20</v>
      </c>
      <c r="G57" s="45">
        <f>'Proposal 1 Resources'!$B$3*'Proposal 1 WBS'!F57</f>
        <v>1200</v>
      </c>
      <c r="H57" s="45"/>
    </row>
    <row r="58" spans="1:10" x14ac:dyDescent="0.3">
      <c r="A58" s="32" t="s">
        <v>124</v>
      </c>
      <c r="B58" s="33" t="s">
        <v>125</v>
      </c>
      <c r="C58" s="34" t="s">
        <v>90</v>
      </c>
      <c r="D58" s="34" t="s">
        <v>122</v>
      </c>
      <c r="E58" s="35">
        <v>1</v>
      </c>
      <c r="F58" s="35">
        <v>60</v>
      </c>
      <c r="G58" s="45">
        <f>'Proposal 1 Resources'!$B$3*'Proposal 1 WBS'!F58</f>
        <v>3600</v>
      </c>
      <c r="H58" s="45"/>
      <c r="J58" s="17"/>
    </row>
    <row r="59" spans="1:10" x14ac:dyDescent="0.3">
      <c r="A59" s="32" t="s">
        <v>126</v>
      </c>
      <c r="B59" s="33" t="s">
        <v>127</v>
      </c>
      <c r="C59" s="34" t="s">
        <v>96</v>
      </c>
      <c r="D59" s="34" t="s">
        <v>122</v>
      </c>
      <c r="E59" s="35">
        <v>1</v>
      </c>
      <c r="F59" s="35">
        <v>40</v>
      </c>
      <c r="G59" s="45">
        <f>'Proposal 1 Resources'!$B$4*'Proposal 1 WBS'!F59*'Proposal 1 WBS'!E59</f>
        <v>1320</v>
      </c>
      <c r="H59" s="45"/>
      <c r="J59" s="17"/>
    </row>
    <row r="60" spans="1:10" x14ac:dyDescent="0.3">
      <c r="A60" s="32" t="s">
        <v>128</v>
      </c>
      <c r="B60" s="33" t="s">
        <v>129</v>
      </c>
      <c r="C60" s="34" t="s">
        <v>99</v>
      </c>
      <c r="D60" s="34" t="s">
        <v>122</v>
      </c>
      <c r="E60" s="35">
        <v>1</v>
      </c>
      <c r="F60" s="35">
        <v>40</v>
      </c>
      <c r="G60" s="45">
        <f>'Proposal 1 Resources'!$B$4*'Proposal 1 WBS'!F60*'Proposal 1 WBS'!E60</f>
        <v>1320</v>
      </c>
      <c r="H60" s="45"/>
      <c r="J60" s="17"/>
    </row>
    <row r="61" spans="1:10" s="4" customFormat="1" ht="15.6" x14ac:dyDescent="0.3">
      <c r="A61" s="28" t="s">
        <v>130</v>
      </c>
      <c r="B61" s="29" t="s">
        <v>131</v>
      </c>
      <c r="C61" s="30"/>
      <c r="D61" s="30"/>
      <c r="E61" s="31"/>
      <c r="F61" s="31"/>
      <c r="G61" s="50">
        <f>SUM(G62:G65)</f>
        <v>7440</v>
      </c>
      <c r="H61" s="44"/>
      <c r="J61" s="17">
        <v>3</v>
      </c>
    </row>
    <row r="62" spans="1:10" x14ac:dyDescent="0.3">
      <c r="A62" s="32" t="s">
        <v>132</v>
      </c>
      <c r="B62" s="33" t="s">
        <v>133</v>
      </c>
      <c r="C62" s="34" t="s">
        <v>90</v>
      </c>
      <c r="D62" s="34" t="s">
        <v>91</v>
      </c>
      <c r="E62" s="35">
        <v>1</v>
      </c>
      <c r="F62" s="35">
        <v>20</v>
      </c>
      <c r="G62" s="45">
        <f>'Proposal 1 Resources'!$B$3*'Proposal 1 WBS'!F62</f>
        <v>1200</v>
      </c>
      <c r="H62" s="45"/>
    </row>
    <row r="63" spans="1:10" x14ac:dyDescent="0.3">
      <c r="A63" s="32" t="s">
        <v>134</v>
      </c>
      <c r="B63" s="33" t="s">
        <v>135</v>
      </c>
      <c r="C63" s="34" t="s">
        <v>90</v>
      </c>
      <c r="D63" s="34" t="s">
        <v>132</v>
      </c>
      <c r="E63" s="35">
        <v>1</v>
      </c>
      <c r="F63" s="35">
        <v>60</v>
      </c>
      <c r="G63" s="45">
        <f>'Proposal 1 Resources'!$B$3*'Proposal 1 WBS'!F63</f>
        <v>3600</v>
      </c>
      <c r="H63" s="45"/>
      <c r="J63" s="17"/>
    </row>
    <row r="64" spans="1:10" x14ac:dyDescent="0.3">
      <c r="A64" s="32" t="s">
        <v>136</v>
      </c>
      <c r="B64" s="33" t="s">
        <v>137</v>
      </c>
      <c r="C64" s="34" t="s">
        <v>96</v>
      </c>
      <c r="D64" s="34" t="s">
        <v>132</v>
      </c>
      <c r="E64" s="35">
        <v>1</v>
      </c>
      <c r="F64" s="35">
        <v>40</v>
      </c>
      <c r="G64" s="45">
        <f>'Proposal 1 Resources'!$B$4*'Proposal 1 WBS'!F64*'Proposal 1 WBS'!E64</f>
        <v>1320</v>
      </c>
      <c r="H64" s="45"/>
      <c r="J64" s="17"/>
    </row>
    <row r="65" spans="1:10" x14ac:dyDescent="0.3">
      <c r="A65" s="32" t="s">
        <v>138</v>
      </c>
      <c r="B65" s="33" t="s">
        <v>139</v>
      </c>
      <c r="C65" s="34" t="s">
        <v>99</v>
      </c>
      <c r="D65" s="34" t="s">
        <v>132</v>
      </c>
      <c r="E65" s="35">
        <v>1</v>
      </c>
      <c r="F65" s="35">
        <v>40</v>
      </c>
      <c r="G65" s="45">
        <f>'Proposal 1 Resources'!$B$4*'Proposal 1 WBS'!F65*'Proposal 1 WBS'!E65</f>
        <v>1320</v>
      </c>
      <c r="H65" s="45"/>
      <c r="J65" s="17"/>
    </row>
    <row r="66" spans="1:10" s="4" customFormat="1" ht="15.6" x14ac:dyDescent="0.3">
      <c r="A66" s="28" t="s">
        <v>140</v>
      </c>
      <c r="B66" s="29" t="s">
        <v>141</v>
      </c>
      <c r="C66" s="30"/>
      <c r="D66" s="30"/>
      <c r="E66" s="31"/>
      <c r="F66" s="31"/>
      <c r="G66" s="50">
        <f>SUM(G67:G70)</f>
        <v>7440</v>
      </c>
      <c r="H66" s="44"/>
      <c r="J66" s="17">
        <v>3</v>
      </c>
    </row>
    <row r="67" spans="1:10" x14ac:dyDescent="0.3">
      <c r="A67" s="32" t="s">
        <v>142</v>
      </c>
      <c r="B67" s="33" t="s">
        <v>143</v>
      </c>
      <c r="C67" s="34" t="s">
        <v>90</v>
      </c>
      <c r="D67" s="34" t="s">
        <v>91</v>
      </c>
      <c r="E67" s="35">
        <v>1</v>
      </c>
      <c r="F67" s="35">
        <v>20</v>
      </c>
      <c r="G67" s="45">
        <f>'Proposal 1 Resources'!$B$3*'Proposal 1 WBS'!F67</f>
        <v>1200</v>
      </c>
      <c r="H67" s="45"/>
    </row>
    <row r="68" spans="1:10" x14ac:dyDescent="0.3">
      <c r="A68" s="32" t="s">
        <v>144</v>
      </c>
      <c r="B68" s="33" t="s">
        <v>145</v>
      </c>
      <c r="C68" s="34" t="s">
        <v>90</v>
      </c>
      <c r="D68" s="34" t="s">
        <v>142</v>
      </c>
      <c r="E68" s="35">
        <v>1</v>
      </c>
      <c r="F68" s="35">
        <v>60</v>
      </c>
      <c r="G68" s="45">
        <f>'Proposal 1 Resources'!$B$3*'Proposal 1 WBS'!F68</f>
        <v>3600</v>
      </c>
      <c r="H68" s="45"/>
      <c r="J68" s="17"/>
    </row>
    <row r="69" spans="1:10" x14ac:dyDescent="0.3">
      <c r="A69" s="32" t="s">
        <v>146</v>
      </c>
      <c r="B69" s="33" t="s">
        <v>147</v>
      </c>
      <c r="C69" s="34" t="s">
        <v>96</v>
      </c>
      <c r="D69" s="34" t="s">
        <v>142</v>
      </c>
      <c r="E69" s="35">
        <v>1</v>
      </c>
      <c r="F69" s="35">
        <v>40</v>
      </c>
      <c r="G69" s="45">
        <f>'Proposal 1 Resources'!$B$4*'Proposal 1 WBS'!F69*'Proposal 1 WBS'!E69</f>
        <v>1320</v>
      </c>
      <c r="H69" s="45"/>
      <c r="J69" s="17"/>
    </row>
    <row r="70" spans="1:10" x14ac:dyDescent="0.3">
      <c r="A70" s="32" t="s">
        <v>148</v>
      </c>
      <c r="B70" s="33" t="s">
        <v>149</v>
      </c>
      <c r="C70" s="34" t="s">
        <v>99</v>
      </c>
      <c r="D70" s="34" t="s">
        <v>142</v>
      </c>
      <c r="E70" s="35">
        <v>1</v>
      </c>
      <c r="F70" s="35">
        <v>40</v>
      </c>
      <c r="G70" s="45">
        <f>'Proposal 1 Resources'!$B$4*'Proposal 1 WBS'!F70*'Proposal 1 WBS'!E70</f>
        <v>1320</v>
      </c>
      <c r="H70" s="45"/>
      <c r="J70" s="17"/>
    </row>
    <row r="71" spans="1:10" s="4" customFormat="1" ht="15.6" x14ac:dyDescent="0.3">
      <c r="A71" s="28" t="s">
        <v>150</v>
      </c>
      <c r="B71" s="29" t="s">
        <v>151</v>
      </c>
      <c r="C71" s="30"/>
      <c r="D71" s="30"/>
      <c r="E71" s="31"/>
      <c r="F71" s="31"/>
      <c r="G71" s="50">
        <f>SUM(G72:G75)</f>
        <v>7440</v>
      </c>
      <c r="H71" s="44"/>
      <c r="J71" s="17">
        <v>3</v>
      </c>
    </row>
    <row r="72" spans="1:10" x14ac:dyDescent="0.3">
      <c r="A72" s="32" t="s">
        <v>152</v>
      </c>
      <c r="B72" s="33" t="s">
        <v>153</v>
      </c>
      <c r="C72" s="34" t="s">
        <v>90</v>
      </c>
      <c r="D72" s="34" t="s">
        <v>91</v>
      </c>
      <c r="E72" s="35">
        <v>1</v>
      </c>
      <c r="F72" s="35">
        <v>20</v>
      </c>
      <c r="G72" s="45">
        <f>'Proposal 1 Resources'!$B$3*'Proposal 1 WBS'!F72</f>
        <v>1200</v>
      </c>
      <c r="H72" s="45"/>
    </row>
    <row r="73" spans="1:10" x14ac:dyDescent="0.3">
      <c r="A73" s="32" t="s">
        <v>154</v>
      </c>
      <c r="B73" s="33" t="s">
        <v>155</v>
      </c>
      <c r="C73" s="34" t="s">
        <v>90</v>
      </c>
      <c r="D73" s="34" t="s">
        <v>152</v>
      </c>
      <c r="E73" s="35">
        <v>1</v>
      </c>
      <c r="F73" s="35">
        <v>60</v>
      </c>
      <c r="G73" s="45">
        <f>'Proposal 1 Resources'!$B$3*'Proposal 1 WBS'!F73</f>
        <v>3600</v>
      </c>
      <c r="H73" s="45"/>
      <c r="J73" s="17"/>
    </row>
    <row r="74" spans="1:10" x14ac:dyDescent="0.3">
      <c r="A74" s="32" t="s">
        <v>156</v>
      </c>
      <c r="B74" s="33" t="s">
        <v>157</v>
      </c>
      <c r="C74" s="34" t="s">
        <v>96</v>
      </c>
      <c r="D74" s="34" t="s">
        <v>152</v>
      </c>
      <c r="E74" s="35">
        <v>1</v>
      </c>
      <c r="F74" s="35">
        <v>40</v>
      </c>
      <c r="G74" s="45">
        <f>'Proposal 1 Resources'!$B$4*'Proposal 1 WBS'!F74*'Proposal 1 WBS'!E74</f>
        <v>1320</v>
      </c>
      <c r="H74" s="45"/>
      <c r="J74" s="17"/>
    </row>
    <row r="75" spans="1:10" x14ac:dyDescent="0.3">
      <c r="A75" s="32" t="s">
        <v>158</v>
      </c>
      <c r="B75" s="33" t="s">
        <v>159</v>
      </c>
      <c r="C75" s="34" t="s">
        <v>99</v>
      </c>
      <c r="D75" s="34" t="s">
        <v>152</v>
      </c>
      <c r="E75" s="35">
        <v>1</v>
      </c>
      <c r="F75" s="35">
        <v>40</v>
      </c>
      <c r="G75" s="45">
        <f>'Proposal 1 Resources'!$B$4*'Proposal 1 WBS'!F75*'Proposal 1 WBS'!E75</f>
        <v>1320</v>
      </c>
      <c r="H75" s="45"/>
      <c r="J75" s="17"/>
    </row>
    <row r="76" spans="1:10" s="4" customFormat="1" ht="15.6" x14ac:dyDescent="0.3">
      <c r="A76" s="28" t="s">
        <v>160</v>
      </c>
      <c r="B76" s="29" t="s">
        <v>161</v>
      </c>
      <c r="C76" s="30"/>
      <c r="D76" s="30"/>
      <c r="E76" s="31"/>
      <c r="F76" s="31"/>
      <c r="G76" s="50">
        <f>SUM(G77:G78)</f>
        <v>6600</v>
      </c>
      <c r="H76" s="44"/>
      <c r="J76" s="12">
        <v>2.5</v>
      </c>
    </row>
    <row r="77" spans="1:10" s="14" customFormat="1" ht="117.75" customHeight="1" x14ac:dyDescent="0.3">
      <c r="A77" s="32" t="s">
        <v>162</v>
      </c>
      <c r="B77" s="33" t="s">
        <v>163</v>
      </c>
      <c r="C77" s="34" t="s">
        <v>164</v>
      </c>
      <c r="D77" s="34" t="s">
        <v>165</v>
      </c>
      <c r="E77" s="35">
        <v>2</v>
      </c>
      <c r="F77" s="35">
        <v>60</v>
      </c>
      <c r="G77" s="45">
        <f>'Proposal 1 Resources'!$B$10*'Proposal 1 WBS'!F77*'Proposal 1 WBS'!E77</f>
        <v>3960</v>
      </c>
      <c r="H77" s="45"/>
    </row>
    <row r="78" spans="1:10" ht="28.8" x14ac:dyDescent="0.3">
      <c r="A78" s="32" t="s">
        <v>166</v>
      </c>
      <c r="B78" s="33" t="s">
        <v>167</v>
      </c>
      <c r="C78" s="34" t="s">
        <v>164</v>
      </c>
      <c r="D78" s="34" t="s">
        <v>162</v>
      </c>
      <c r="E78" s="35">
        <v>2</v>
      </c>
      <c r="F78" s="35">
        <v>40</v>
      </c>
      <c r="G78" s="45">
        <f>'Proposal 1 Resources'!$B$10*'Proposal 1 WBS'!F78*'Proposal 1 WBS'!E78</f>
        <v>2640</v>
      </c>
      <c r="H78" s="45"/>
      <c r="J78" s="17"/>
    </row>
    <row r="79" spans="1:10" s="4" customFormat="1" ht="15.6" x14ac:dyDescent="0.3">
      <c r="A79" s="28" t="s">
        <v>168</v>
      </c>
      <c r="B79" s="29" t="s">
        <v>169</v>
      </c>
      <c r="C79" s="30"/>
      <c r="D79" s="30"/>
      <c r="E79" s="31"/>
      <c r="F79" s="31"/>
      <c r="G79" s="50">
        <f>SUM(G80:G82)</f>
        <v>4176</v>
      </c>
      <c r="H79" s="44"/>
      <c r="J79" s="17">
        <v>2</v>
      </c>
    </row>
    <row r="80" spans="1:10" x14ac:dyDescent="0.3">
      <c r="A80" s="32" t="s">
        <v>170</v>
      </c>
      <c r="B80" s="33" t="s">
        <v>171</v>
      </c>
      <c r="C80" s="34" t="s">
        <v>14</v>
      </c>
      <c r="D80" s="34" t="s">
        <v>172</v>
      </c>
      <c r="E80" s="35">
        <v>1</v>
      </c>
      <c r="F80" s="35">
        <v>16</v>
      </c>
      <c r="G80" s="45">
        <f>'Proposal 1 Resources'!$B$2*'Proposal 1 WBS'!F80</f>
        <v>768</v>
      </c>
      <c r="H80" s="45"/>
    </row>
    <row r="81" spans="1:10" ht="28.8" x14ac:dyDescent="0.3">
      <c r="A81" s="32" t="s">
        <v>173</v>
      </c>
      <c r="B81" s="33" t="s">
        <v>174</v>
      </c>
      <c r="C81" s="34" t="s">
        <v>175</v>
      </c>
      <c r="D81" s="34" t="s">
        <v>170</v>
      </c>
      <c r="E81" s="35">
        <v>2</v>
      </c>
      <c r="F81" s="35">
        <v>40</v>
      </c>
      <c r="G81" s="45">
        <f>'Proposal 1 Resources'!$B$4*'Proposal 1 WBS'!F81*'Proposal 1 WBS'!E81</f>
        <v>2640</v>
      </c>
      <c r="H81" s="45"/>
      <c r="J81" s="17"/>
    </row>
    <row r="82" spans="1:10" x14ac:dyDescent="0.3">
      <c r="A82" s="32" t="s">
        <v>176</v>
      </c>
      <c r="B82" s="33" t="s">
        <v>177</v>
      </c>
      <c r="C82" s="34" t="s">
        <v>14</v>
      </c>
      <c r="D82" s="34" t="s">
        <v>173</v>
      </c>
      <c r="E82" s="35">
        <v>1</v>
      </c>
      <c r="F82" s="35">
        <v>16</v>
      </c>
      <c r="G82" s="45">
        <f>'Proposal 1 Resources'!$B$2*'Proposal 1 WBS'!F82</f>
        <v>768</v>
      </c>
      <c r="H82" s="45"/>
      <c r="J82" s="17"/>
    </row>
    <row r="83" spans="1:10" s="4" customFormat="1" ht="15.6" x14ac:dyDescent="0.3">
      <c r="A83" s="39" t="s">
        <v>178</v>
      </c>
      <c r="B83" s="29" t="s">
        <v>179</v>
      </c>
      <c r="C83" s="30"/>
      <c r="D83" s="30"/>
      <c r="E83" s="31"/>
      <c r="F83" s="31"/>
      <c r="G83" s="44"/>
      <c r="H83" s="44"/>
      <c r="J83" s="11"/>
    </row>
    <row r="84" spans="1:10" x14ac:dyDescent="0.3">
      <c r="A84" s="32"/>
      <c r="B84" s="33"/>
      <c r="C84" s="34"/>
      <c r="D84" s="34"/>
      <c r="E84" s="35"/>
      <c r="F84" s="35"/>
      <c r="G84" s="45"/>
      <c r="H84" s="45"/>
      <c r="J84" s="17"/>
    </row>
    <row r="85" spans="1:10" s="6" customFormat="1" ht="18" x14ac:dyDescent="0.35">
      <c r="A85" s="24" t="s">
        <v>180</v>
      </c>
      <c r="B85" s="25" t="s">
        <v>181</v>
      </c>
      <c r="C85" s="38"/>
      <c r="D85" s="38"/>
      <c r="E85" s="19"/>
      <c r="F85" s="19"/>
      <c r="G85" s="47"/>
      <c r="H85" s="43">
        <f>SUM(G86,G89)</f>
        <v>1040</v>
      </c>
      <c r="J85" s="16"/>
    </row>
    <row r="86" spans="1:10" s="4" customFormat="1" ht="15.6" x14ac:dyDescent="0.3">
      <c r="A86" s="28" t="s">
        <v>182</v>
      </c>
      <c r="B86" s="29" t="s">
        <v>183</v>
      </c>
      <c r="C86" s="30"/>
      <c r="D86" s="30"/>
      <c r="E86" s="31"/>
      <c r="F86" s="31"/>
      <c r="G86" s="50">
        <f>SUM(G87:G88)</f>
        <v>800</v>
      </c>
      <c r="H86" s="44"/>
      <c r="J86" s="17">
        <v>0.5</v>
      </c>
    </row>
    <row r="87" spans="1:10" x14ac:dyDescent="0.3">
      <c r="A87" s="32" t="s">
        <v>184</v>
      </c>
      <c r="B87" s="33" t="s">
        <v>185</v>
      </c>
      <c r="C87" s="34" t="s">
        <v>183</v>
      </c>
      <c r="D87" s="34" t="s">
        <v>22</v>
      </c>
      <c r="E87" s="35">
        <v>1</v>
      </c>
      <c r="F87" s="35">
        <v>10</v>
      </c>
      <c r="G87" s="45">
        <f>'Proposal 1 Resources'!$B$7*'Proposal 1 WBS'!F87</f>
        <v>400</v>
      </c>
      <c r="H87" s="45"/>
    </row>
    <row r="88" spans="1:10" x14ac:dyDescent="0.3">
      <c r="A88" s="32" t="s">
        <v>186</v>
      </c>
      <c r="B88" s="33" t="s">
        <v>187</v>
      </c>
      <c r="C88" s="34" t="s">
        <v>183</v>
      </c>
      <c r="D88" s="34" t="s">
        <v>186</v>
      </c>
      <c r="E88" s="35">
        <v>1</v>
      </c>
      <c r="F88" s="35">
        <v>10</v>
      </c>
      <c r="G88" s="45">
        <f>'Proposal 1 Resources'!$B$7*'Proposal 1 WBS'!F88</f>
        <v>400</v>
      </c>
      <c r="H88" s="45"/>
      <c r="J88" s="17"/>
    </row>
    <row r="89" spans="1:10" s="4" customFormat="1" ht="15.6" x14ac:dyDescent="0.3">
      <c r="A89" s="28" t="s">
        <v>188</v>
      </c>
      <c r="B89" s="29" t="s">
        <v>189</v>
      </c>
      <c r="C89" s="30"/>
      <c r="D89" s="30"/>
      <c r="E89" s="37"/>
      <c r="F89" s="31"/>
      <c r="G89" s="50">
        <f>SUM(G90:G91)</f>
        <v>240</v>
      </c>
      <c r="H89" s="44"/>
      <c r="J89" s="17">
        <v>0.1</v>
      </c>
    </row>
    <row r="90" spans="1:10" s="1" customFormat="1" x14ac:dyDescent="0.3">
      <c r="A90" s="32" t="s">
        <v>190</v>
      </c>
      <c r="B90" s="33" t="s">
        <v>191</v>
      </c>
      <c r="C90" s="34" t="s">
        <v>90</v>
      </c>
      <c r="D90" s="40" t="s">
        <v>186</v>
      </c>
      <c r="E90" s="35">
        <v>1</v>
      </c>
      <c r="F90" s="35">
        <v>2</v>
      </c>
      <c r="G90" s="45">
        <f>'Proposal 1 Resources'!B3*'Proposal 1 WBS'!F90</f>
        <v>120</v>
      </c>
      <c r="H90" s="45"/>
      <c r="J90" s="17"/>
    </row>
    <row r="91" spans="1:10" s="1" customFormat="1" x14ac:dyDescent="0.3">
      <c r="A91" s="32" t="s">
        <v>192</v>
      </c>
      <c r="B91" s="33" t="s">
        <v>193</v>
      </c>
      <c r="C91" s="34" t="s">
        <v>90</v>
      </c>
      <c r="D91" s="34" t="s">
        <v>194</v>
      </c>
      <c r="E91" s="35">
        <v>1</v>
      </c>
      <c r="F91" s="35">
        <v>2</v>
      </c>
      <c r="G91" s="45">
        <f>'Proposal 1 Resources'!B3*'Proposal 1 WBS'!F91</f>
        <v>120</v>
      </c>
      <c r="H91" s="42"/>
    </row>
    <row r="92" spans="1:10" s="4" customFormat="1" ht="15.6" x14ac:dyDescent="0.3">
      <c r="A92" s="28" t="s">
        <v>195</v>
      </c>
      <c r="B92" s="29" t="s">
        <v>196</v>
      </c>
      <c r="C92" s="36"/>
      <c r="D92" s="36"/>
      <c r="E92" s="37"/>
      <c r="F92" s="31"/>
      <c r="G92" s="42"/>
      <c r="H92" s="44"/>
      <c r="J92" s="11"/>
    </row>
    <row r="93" spans="1:10" s="1" customFormat="1" x14ac:dyDescent="0.3">
      <c r="A93" s="32"/>
      <c r="B93" s="33"/>
      <c r="C93" s="22"/>
      <c r="D93" s="22"/>
      <c r="E93" s="35"/>
      <c r="F93" s="23"/>
      <c r="G93" s="42"/>
      <c r="H93" s="42"/>
      <c r="J93" s="17"/>
    </row>
    <row r="94" spans="1:10" s="6" customFormat="1" ht="18" x14ac:dyDescent="0.35">
      <c r="A94" s="24" t="s">
        <v>197</v>
      </c>
      <c r="B94" s="25" t="s">
        <v>198</v>
      </c>
      <c r="C94" s="38"/>
      <c r="D94" s="38"/>
      <c r="E94" s="27"/>
      <c r="F94" s="19"/>
      <c r="G94" s="47"/>
      <c r="H94" s="43">
        <f>SUM(G95,G98,G102,G105)</f>
        <v>12720</v>
      </c>
      <c r="J94" s="16"/>
    </row>
    <row r="95" spans="1:10" s="5" customFormat="1" ht="15.6" x14ac:dyDescent="0.3">
      <c r="A95" s="28" t="s">
        <v>199</v>
      </c>
      <c r="B95" s="29" t="s">
        <v>200</v>
      </c>
      <c r="C95" s="36"/>
      <c r="D95" s="36"/>
      <c r="E95" s="37"/>
      <c r="F95" s="37"/>
      <c r="G95" s="50">
        <f>SUM(G96:G97)</f>
        <v>4800</v>
      </c>
      <c r="H95" s="46"/>
      <c r="J95" s="17">
        <v>2</v>
      </c>
    </row>
    <row r="96" spans="1:10" s="1" customFormat="1" x14ac:dyDescent="0.3">
      <c r="A96" s="32" t="s">
        <v>201</v>
      </c>
      <c r="B96" s="33" t="s">
        <v>202</v>
      </c>
      <c r="C96" s="34" t="s">
        <v>90</v>
      </c>
      <c r="D96" s="34" t="s">
        <v>108</v>
      </c>
      <c r="E96" s="35">
        <v>1</v>
      </c>
      <c r="F96" s="35">
        <v>40</v>
      </c>
      <c r="G96" s="45">
        <f>'Proposal 1 Resources'!$B$3*'Proposal 1 WBS'!F96</f>
        <v>2400</v>
      </c>
      <c r="H96" s="42"/>
    </row>
    <row r="97" spans="1:10" s="1" customFormat="1" x14ac:dyDescent="0.3">
      <c r="A97" s="32" t="s">
        <v>203</v>
      </c>
      <c r="B97" s="33" t="s">
        <v>204</v>
      </c>
      <c r="C97" s="34" t="s">
        <v>90</v>
      </c>
      <c r="D97" s="34" t="s">
        <v>201</v>
      </c>
      <c r="E97" s="35">
        <v>1</v>
      </c>
      <c r="F97" s="35">
        <v>40</v>
      </c>
      <c r="G97" s="45">
        <f>'Proposal 1 Resources'!$B$3*'Proposal 1 WBS'!F97</f>
        <v>2400</v>
      </c>
      <c r="H97" s="42"/>
      <c r="J97" s="17"/>
    </row>
    <row r="98" spans="1:10" s="5" customFormat="1" ht="15.6" x14ac:dyDescent="0.3">
      <c r="A98" s="28" t="s">
        <v>205</v>
      </c>
      <c r="B98" s="29" t="s">
        <v>206</v>
      </c>
      <c r="C98" s="36"/>
      <c r="D98" s="36"/>
      <c r="E98" s="37"/>
      <c r="F98" s="37"/>
      <c r="G98" s="50">
        <f>SUM(G99:G101)</f>
        <v>5040</v>
      </c>
      <c r="H98" s="46"/>
      <c r="J98" s="17">
        <v>1</v>
      </c>
    </row>
    <row r="99" spans="1:10" x14ac:dyDescent="0.3">
      <c r="A99" s="32" t="s">
        <v>207</v>
      </c>
      <c r="B99" s="33" t="s">
        <v>208</v>
      </c>
      <c r="C99" s="34" t="s">
        <v>96</v>
      </c>
      <c r="D99" s="34" t="s">
        <v>203</v>
      </c>
      <c r="E99" s="35">
        <v>1</v>
      </c>
      <c r="F99" s="35">
        <v>40</v>
      </c>
      <c r="G99" s="45">
        <f>'Proposal 1 Resources'!$B$4*'Proposal 1 WBS'!F99*'Proposal 1 WBS'!E99</f>
        <v>1320</v>
      </c>
      <c r="H99" s="45"/>
    </row>
    <row r="100" spans="1:10" x14ac:dyDescent="0.3">
      <c r="A100" s="32" t="s">
        <v>209</v>
      </c>
      <c r="B100" s="33" t="s">
        <v>210</v>
      </c>
      <c r="C100" s="34" t="s">
        <v>99</v>
      </c>
      <c r="D100" s="34" t="s">
        <v>203</v>
      </c>
      <c r="E100" s="35">
        <v>1</v>
      </c>
      <c r="F100" s="35">
        <v>40</v>
      </c>
      <c r="G100" s="45">
        <f>'Proposal 1 Resources'!$B$4*'Proposal 1 WBS'!F100*'Proposal 1 WBS'!E100</f>
        <v>1320</v>
      </c>
      <c r="H100" s="45"/>
      <c r="J100" s="17"/>
    </row>
    <row r="101" spans="1:10" x14ac:dyDescent="0.3">
      <c r="A101" s="32" t="s">
        <v>211</v>
      </c>
      <c r="B101" s="33" t="s">
        <v>212</v>
      </c>
      <c r="C101" s="34" t="s">
        <v>90</v>
      </c>
      <c r="D101" s="34" t="s">
        <v>203</v>
      </c>
      <c r="E101" s="35">
        <v>1</v>
      </c>
      <c r="F101" s="35">
        <v>40</v>
      </c>
      <c r="G101" s="45">
        <f>'Proposal 1 Resources'!$B$3*'Proposal 1 WBS'!F101</f>
        <v>2400</v>
      </c>
      <c r="H101" s="45"/>
      <c r="J101" s="17"/>
    </row>
    <row r="102" spans="1:10" s="4" customFormat="1" ht="15.6" x14ac:dyDescent="0.3">
      <c r="A102" s="28" t="s">
        <v>213</v>
      </c>
      <c r="B102" s="29" t="s">
        <v>214</v>
      </c>
      <c r="C102" s="30"/>
      <c r="D102" s="30"/>
      <c r="E102" s="37"/>
      <c r="F102" s="37"/>
      <c r="G102" s="50">
        <f>SUM(G103:G104)</f>
        <v>2640</v>
      </c>
      <c r="H102" s="44"/>
      <c r="J102" s="17">
        <v>1</v>
      </c>
    </row>
    <row r="103" spans="1:10" s="1" customFormat="1" ht="28.8" x14ac:dyDescent="0.3">
      <c r="A103" s="32" t="s">
        <v>215</v>
      </c>
      <c r="B103" s="41" t="s">
        <v>216</v>
      </c>
      <c r="C103" s="34" t="s">
        <v>164</v>
      </c>
      <c r="D103" s="34" t="s">
        <v>211</v>
      </c>
      <c r="E103" s="35">
        <v>2</v>
      </c>
      <c r="F103" s="35">
        <v>20</v>
      </c>
      <c r="G103" s="45">
        <f>'Proposal 1 Resources'!$B$10*'Proposal 1 WBS'!F103*'Proposal 1 WBS'!E103</f>
        <v>1320</v>
      </c>
      <c r="H103" s="42"/>
    </row>
    <row r="104" spans="1:10" s="1" customFormat="1" ht="28.8" x14ac:dyDescent="0.3">
      <c r="A104" s="32" t="s">
        <v>217</v>
      </c>
      <c r="B104" s="33" t="s">
        <v>218</v>
      </c>
      <c r="C104" s="34" t="s">
        <v>164</v>
      </c>
      <c r="D104" s="34" t="s">
        <v>215</v>
      </c>
      <c r="E104" s="35">
        <v>2</v>
      </c>
      <c r="F104" s="35">
        <v>20</v>
      </c>
      <c r="G104" s="45">
        <f>'Proposal 1 Resources'!$B$10*'Proposal 1 WBS'!F104*'Proposal 1 WBS'!E104</f>
        <v>1320</v>
      </c>
      <c r="H104" s="42"/>
      <c r="J104" s="17"/>
    </row>
    <row r="105" spans="1:10" s="4" customFormat="1" ht="15.6" x14ac:dyDescent="0.3">
      <c r="A105" s="28" t="s">
        <v>219</v>
      </c>
      <c r="B105" s="29" t="s">
        <v>220</v>
      </c>
      <c r="C105" s="30"/>
      <c r="D105" s="30"/>
      <c r="E105" s="31"/>
      <c r="F105" s="31"/>
      <c r="G105" s="50">
        <f>SUM(G106:G110)</f>
        <v>240</v>
      </c>
      <c r="H105" s="44"/>
      <c r="J105" s="17">
        <v>0.1</v>
      </c>
    </row>
    <row r="106" spans="1:10" x14ac:dyDescent="0.3">
      <c r="A106" s="32" t="s">
        <v>221</v>
      </c>
      <c r="B106" s="33" t="s">
        <v>222</v>
      </c>
      <c r="C106" s="34" t="s">
        <v>90</v>
      </c>
      <c r="D106" s="34" t="s">
        <v>192</v>
      </c>
      <c r="E106" s="35">
        <v>1</v>
      </c>
      <c r="F106" s="35">
        <v>2</v>
      </c>
      <c r="G106" s="45">
        <f>'Proposal 1 Resources'!B3*'Proposal 1 WBS'!F106</f>
        <v>120</v>
      </c>
      <c r="H106" s="45"/>
    </row>
    <row r="107" spans="1:10" x14ac:dyDescent="0.3">
      <c r="A107" s="32" t="s">
        <v>223</v>
      </c>
      <c r="B107" s="33" t="s">
        <v>224</v>
      </c>
      <c r="C107" s="34" t="s">
        <v>90</v>
      </c>
      <c r="D107" s="34" t="s">
        <v>217</v>
      </c>
      <c r="E107" s="35">
        <v>1</v>
      </c>
      <c r="F107" s="35">
        <v>2</v>
      </c>
      <c r="G107" s="45">
        <f>'Proposal 1 Resources'!B3*F107</f>
        <v>120</v>
      </c>
      <c r="H107" s="45"/>
      <c r="J107" s="17"/>
    </row>
    <row r="108" spans="1:10" s="4" customFormat="1" ht="15.6" x14ac:dyDescent="0.3">
      <c r="A108" s="28" t="s">
        <v>225</v>
      </c>
      <c r="B108" s="29" t="s">
        <v>226</v>
      </c>
      <c r="C108" s="30"/>
      <c r="D108" s="30"/>
      <c r="E108" s="31"/>
      <c r="F108" s="31"/>
      <c r="G108" s="44"/>
      <c r="H108" s="44"/>
      <c r="J108" s="11"/>
    </row>
    <row r="109" spans="1:10" x14ac:dyDescent="0.3">
      <c r="A109" s="32"/>
      <c r="B109" s="33"/>
      <c r="C109" s="34"/>
      <c r="D109" s="34"/>
      <c r="E109" s="35"/>
      <c r="F109" s="35"/>
      <c r="G109" s="45"/>
      <c r="H109" s="45"/>
      <c r="J109" s="17"/>
    </row>
    <row r="110" spans="1:10" s="6" customFormat="1" ht="18" x14ac:dyDescent="0.35">
      <c r="A110" s="24" t="s">
        <v>227</v>
      </c>
      <c r="B110" s="25" t="s">
        <v>228</v>
      </c>
      <c r="C110" s="38"/>
      <c r="D110" s="38"/>
      <c r="E110" s="19"/>
      <c r="F110" s="19"/>
      <c r="G110" s="47"/>
      <c r="H110" s="47"/>
      <c r="J110" s="16"/>
    </row>
    <row r="111" spans="1:10" s="6" customFormat="1" ht="18" x14ac:dyDescent="0.35">
      <c r="A111" s="108" t="s">
        <v>229</v>
      </c>
      <c r="B111" s="108"/>
      <c r="C111" s="108"/>
      <c r="D111" s="108"/>
      <c r="E111" s="108"/>
      <c r="F111" s="19">
        <f>SUMPRODUCT(E4:E107,F4:F107)</f>
        <v>2768</v>
      </c>
      <c r="G111" s="47"/>
      <c r="H111" s="47"/>
      <c r="J111" s="16"/>
    </row>
    <row r="112" spans="1:10" s="6" customFormat="1" ht="18" x14ac:dyDescent="0.35">
      <c r="A112" s="108" t="s">
        <v>230</v>
      </c>
      <c r="B112" s="108"/>
      <c r="C112" s="108"/>
      <c r="D112" s="108"/>
      <c r="E112" s="108"/>
      <c r="F112" s="19">
        <v>54</v>
      </c>
      <c r="G112" s="47"/>
      <c r="H112" s="47"/>
      <c r="J112" s="16"/>
    </row>
    <row r="113" spans="1:10" ht="18" x14ac:dyDescent="0.3">
      <c r="A113" s="108" t="s">
        <v>231</v>
      </c>
      <c r="B113" s="108"/>
      <c r="C113" s="108"/>
      <c r="D113" s="108"/>
      <c r="E113" s="108"/>
      <c r="F113" s="108"/>
      <c r="G113" s="108"/>
      <c r="H113" s="47">
        <f>SUM(H1:H108)</f>
        <v>134032</v>
      </c>
      <c r="J113" s="17"/>
    </row>
    <row r="114" spans="1:10" x14ac:dyDescent="0.3">
      <c r="J114" s="17"/>
    </row>
    <row r="115" spans="1:10" x14ac:dyDescent="0.3">
      <c r="J115" s="17"/>
    </row>
    <row r="116" spans="1:10" x14ac:dyDescent="0.3">
      <c r="J116" s="17"/>
    </row>
    <row r="117" spans="1:10" x14ac:dyDescent="0.3">
      <c r="J117" s="17"/>
    </row>
    <row r="118" spans="1:10" x14ac:dyDescent="0.3">
      <c r="J118" s="17"/>
    </row>
    <row r="119" spans="1:10" x14ac:dyDescent="0.3">
      <c r="J119" s="17"/>
    </row>
    <row r="120" spans="1:10" x14ac:dyDescent="0.3">
      <c r="J120" s="17"/>
    </row>
    <row r="121" spans="1:10" x14ac:dyDescent="0.3">
      <c r="J121" s="17"/>
    </row>
    <row r="122" spans="1:10" x14ac:dyDescent="0.3">
      <c r="J122" s="17"/>
    </row>
    <row r="123" spans="1:10" x14ac:dyDescent="0.3">
      <c r="J123" s="17"/>
    </row>
    <row r="124" spans="1:10" x14ac:dyDescent="0.3">
      <c r="J124" s="17"/>
    </row>
    <row r="125" spans="1:10" x14ac:dyDescent="0.3">
      <c r="J125" s="17"/>
    </row>
    <row r="126" spans="1:10" x14ac:dyDescent="0.3">
      <c r="J126" s="17"/>
    </row>
    <row r="127" spans="1:10" x14ac:dyDescent="0.3">
      <c r="J127" s="17"/>
    </row>
    <row r="128" spans="1:10" x14ac:dyDescent="0.3">
      <c r="J128" s="17"/>
    </row>
    <row r="129" spans="10:10" x14ac:dyDescent="0.3">
      <c r="J129" s="17"/>
    </row>
    <row r="130" spans="10:10" x14ac:dyDescent="0.3">
      <c r="J130" s="17"/>
    </row>
    <row r="131" spans="10:10" x14ac:dyDescent="0.3">
      <c r="J131" s="17"/>
    </row>
    <row r="132" spans="10:10" x14ac:dyDescent="0.3">
      <c r="J132" s="17"/>
    </row>
    <row r="133" spans="10:10" x14ac:dyDescent="0.3">
      <c r="J133" s="17"/>
    </row>
    <row r="134" spans="10:10" x14ac:dyDescent="0.3">
      <c r="J134" s="17"/>
    </row>
    <row r="135" spans="10:10" x14ac:dyDescent="0.3">
      <c r="J135" s="17"/>
    </row>
    <row r="136" spans="10:10" x14ac:dyDescent="0.3">
      <c r="J136" s="17"/>
    </row>
    <row r="137" spans="10:10" x14ac:dyDescent="0.3">
      <c r="J137" s="17"/>
    </row>
    <row r="138" spans="10:10" ht="15" customHeight="1" x14ac:dyDescent="0.3">
      <c r="J138" s="17"/>
    </row>
    <row r="139" spans="10:10" ht="15" customHeight="1" x14ac:dyDescent="0.3">
      <c r="J139" s="17"/>
    </row>
    <row r="140" spans="10:10" ht="15" customHeight="1" x14ac:dyDescent="0.3">
      <c r="J140" s="17"/>
    </row>
  </sheetData>
  <mergeCells count="3">
    <mergeCell ref="A113:G113"/>
    <mergeCell ref="A111:E111"/>
    <mergeCell ref="A112:E11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8C3A3-0683-44AA-8490-CF35C718D377}">
  <dimension ref="A1:D11"/>
  <sheetViews>
    <sheetView workbookViewId="0">
      <selection activeCell="C16" sqref="C16"/>
    </sheetView>
  </sheetViews>
  <sheetFormatPr defaultRowHeight="14.4" x14ac:dyDescent="0.3"/>
  <cols>
    <col min="1" max="1" width="20.109375" customWidth="1"/>
    <col min="2" max="2" width="9.109375" style="51" customWidth="1"/>
    <col min="3" max="3" width="15" style="51" customWidth="1"/>
    <col min="4" max="4" width="13.33203125" style="51" customWidth="1"/>
  </cols>
  <sheetData>
    <row r="1" spans="1:4" x14ac:dyDescent="0.3">
      <c r="A1" s="8" t="s">
        <v>2</v>
      </c>
      <c r="B1" s="92" t="s">
        <v>232</v>
      </c>
      <c r="C1" s="92" t="s">
        <v>233</v>
      </c>
      <c r="D1" s="92" t="s">
        <v>234</v>
      </c>
    </row>
    <row r="2" spans="1:4" x14ac:dyDescent="0.3">
      <c r="A2" s="9" t="s">
        <v>14</v>
      </c>
      <c r="B2" s="93">
        <f>FLOOR((C2/40),1)</f>
        <v>48</v>
      </c>
      <c r="C2" s="93">
        <f>FLOOR((D2/52),1)</f>
        <v>1923</v>
      </c>
      <c r="D2" s="93">
        <v>100000</v>
      </c>
    </row>
    <row r="3" spans="1:4" x14ac:dyDescent="0.3">
      <c r="A3" s="9" t="s">
        <v>90</v>
      </c>
      <c r="B3" s="93">
        <f t="shared" ref="B3:B10" si="0">FLOOR((C3/40),1)</f>
        <v>60</v>
      </c>
      <c r="C3" s="93">
        <f t="shared" ref="C3:C10" si="1">FLOOR((D3/52),1)</f>
        <v>2403</v>
      </c>
      <c r="D3" s="93">
        <v>125000</v>
      </c>
    </row>
    <row r="4" spans="1:4" x14ac:dyDescent="0.3">
      <c r="A4" s="9" t="s">
        <v>96</v>
      </c>
      <c r="B4" s="93">
        <f t="shared" si="0"/>
        <v>33</v>
      </c>
      <c r="C4" s="93">
        <f t="shared" si="1"/>
        <v>1346</v>
      </c>
      <c r="D4" s="93">
        <v>70000</v>
      </c>
    </row>
    <row r="5" spans="1:4" x14ac:dyDescent="0.3">
      <c r="A5" s="9" t="s">
        <v>99</v>
      </c>
      <c r="B5" s="93">
        <f t="shared" ref="B5" si="2">FLOOR((C5/40),1)</f>
        <v>33</v>
      </c>
      <c r="C5" s="93">
        <f t="shared" ref="C5" si="3">FLOOR((D5/52),1)</f>
        <v>1346</v>
      </c>
      <c r="D5" s="93">
        <v>70000</v>
      </c>
    </row>
    <row r="6" spans="1:4" x14ac:dyDescent="0.3">
      <c r="A6" s="10" t="s">
        <v>235</v>
      </c>
      <c r="B6" s="93">
        <f t="shared" si="0"/>
        <v>36</v>
      </c>
      <c r="C6" s="93">
        <f t="shared" si="1"/>
        <v>1442</v>
      </c>
      <c r="D6" s="93">
        <v>75000</v>
      </c>
    </row>
    <row r="7" spans="1:4" x14ac:dyDescent="0.3">
      <c r="A7" s="9" t="s">
        <v>183</v>
      </c>
      <c r="B7" s="93">
        <f t="shared" si="0"/>
        <v>40</v>
      </c>
      <c r="C7" s="93">
        <f t="shared" si="1"/>
        <v>1634</v>
      </c>
      <c r="D7" s="93">
        <v>85000</v>
      </c>
    </row>
    <row r="8" spans="1:4" x14ac:dyDescent="0.3">
      <c r="A8" s="9" t="s">
        <v>28</v>
      </c>
      <c r="B8" s="93">
        <f t="shared" si="0"/>
        <v>38</v>
      </c>
      <c r="C8" s="93">
        <f t="shared" si="1"/>
        <v>1538</v>
      </c>
      <c r="D8" s="93">
        <v>80000</v>
      </c>
    </row>
    <row r="9" spans="1:4" x14ac:dyDescent="0.3">
      <c r="A9" s="9" t="s">
        <v>236</v>
      </c>
      <c r="B9" s="93">
        <f t="shared" si="0"/>
        <v>500</v>
      </c>
      <c r="C9" s="93">
        <v>20000</v>
      </c>
      <c r="D9" s="94" t="s">
        <v>237</v>
      </c>
    </row>
    <row r="10" spans="1:4" x14ac:dyDescent="0.3">
      <c r="A10" s="9" t="s">
        <v>238</v>
      </c>
      <c r="B10" s="93">
        <f t="shared" si="0"/>
        <v>33</v>
      </c>
      <c r="C10" s="93">
        <f t="shared" si="1"/>
        <v>1346</v>
      </c>
      <c r="D10" s="93">
        <v>70000</v>
      </c>
    </row>
    <row r="11" spans="1:4" x14ac:dyDescent="0.3">
      <c r="A11" s="9" t="s">
        <v>239</v>
      </c>
      <c r="B11" s="93">
        <f t="shared" ref="B11" si="4">FLOOR((C11/40),1)</f>
        <v>33</v>
      </c>
      <c r="C11" s="93">
        <f t="shared" ref="C11" si="5">FLOOR((D11/52),1)</f>
        <v>1346</v>
      </c>
      <c r="D11" s="93">
        <v>70000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32796-8B3F-4712-A27C-FCE2A3BD7553}">
  <dimension ref="A1:H110"/>
  <sheetViews>
    <sheetView workbookViewId="0">
      <selection activeCell="B1" sqref="B1"/>
    </sheetView>
  </sheetViews>
  <sheetFormatPr defaultRowHeight="14.4" x14ac:dyDescent="0.3"/>
  <cols>
    <col min="1" max="1" width="18.6640625" customWidth="1"/>
    <col min="2" max="2" width="16.109375" bestFit="1" customWidth="1"/>
    <col min="3" max="3" width="17.44140625" bestFit="1" customWidth="1"/>
    <col min="4" max="4" width="11.33203125" customWidth="1"/>
    <col min="5" max="5" width="12" customWidth="1"/>
    <col min="6" max="6" width="18.6640625" bestFit="1" customWidth="1"/>
    <col min="7" max="7" width="17.5546875" bestFit="1" customWidth="1"/>
    <col min="8" max="8" width="13.6640625" bestFit="1" customWidth="1"/>
  </cols>
  <sheetData>
    <row r="1" spans="1:8" x14ac:dyDescent="0.3">
      <c r="A1" s="72" t="s">
        <v>240</v>
      </c>
      <c r="B1" s="121">
        <f>360800</f>
        <v>360800</v>
      </c>
      <c r="C1" s="79"/>
      <c r="D1" s="63"/>
      <c r="E1" s="63"/>
      <c r="F1" s="63"/>
      <c r="G1" s="63"/>
      <c r="H1" s="56"/>
    </row>
    <row r="2" spans="1:8" x14ac:dyDescent="0.3">
      <c r="A2" s="73" t="s">
        <v>241</v>
      </c>
      <c r="B2">
        <v>0.08</v>
      </c>
      <c r="H2" s="58"/>
    </row>
    <row r="3" spans="1:8" x14ac:dyDescent="0.3">
      <c r="A3" s="73" t="s">
        <v>242</v>
      </c>
      <c r="B3">
        <v>60</v>
      </c>
      <c r="H3" s="58"/>
    </row>
    <row r="4" spans="1:8" x14ac:dyDescent="0.3">
      <c r="A4" s="73" t="s">
        <v>243</v>
      </c>
      <c r="B4" s="83">
        <f>ROUND(PMT($B$2/12,$B$3,-$B$1,0), 2)</f>
        <v>7315.72</v>
      </c>
      <c r="H4" s="58"/>
    </row>
    <row r="5" spans="1:8" x14ac:dyDescent="0.3">
      <c r="A5" s="73"/>
      <c r="B5" s="52"/>
      <c r="H5" s="58"/>
    </row>
    <row r="6" spans="1:8" x14ac:dyDescent="0.3">
      <c r="A6" s="76" t="s">
        <v>244</v>
      </c>
      <c r="B6" s="77" t="s">
        <v>245</v>
      </c>
      <c r="C6" s="77" t="s">
        <v>246</v>
      </c>
      <c r="D6" s="77" t="s">
        <v>247</v>
      </c>
      <c r="E6" s="77" t="s">
        <v>248</v>
      </c>
      <c r="F6" s="77" t="s">
        <v>249</v>
      </c>
      <c r="G6" s="77" t="s">
        <v>250</v>
      </c>
      <c r="H6" s="78" t="s">
        <v>251</v>
      </c>
    </row>
    <row r="7" spans="1:8" x14ac:dyDescent="0.3">
      <c r="A7" s="74">
        <v>1</v>
      </c>
      <c r="B7" s="51">
        <f>$B1</f>
        <v>360800</v>
      </c>
      <c r="C7" s="51">
        <f>$B$4*12</f>
        <v>87788.64</v>
      </c>
      <c r="D7" s="51">
        <f>SUM(D18:D29)</f>
        <v>61133.950000000004</v>
      </c>
      <c r="E7" s="51">
        <f t="shared" ref="E7" si="0">SUM(E18:E29)</f>
        <v>26654.69</v>
      </c>
      <c r="F7" s="51">
        <f>F29</f>
        <v>61133.950000000004</v>
      </c>
      <c r="G7" s="51">
        <f>G29</f>
        <v>26654.69</v>
      </c>
      <c r="H7" s="70">
        <f>B7-D7</f>
        <v>299666.05</v>
      </c>
    </row>
    <row r="8" spans="1:8" x14ac:dyDescent="0.3">
      <c r="A8" s="74">
        <v>2</v>
      </c>
      <c r="B8" s="51">
        <f>H7</f>
        <v>299666.05</v>
      </c>
      <c r="C8" s="51">
        <f>$B$4*12</f>
        <v>87788.64</v>
      </c>
      <c r="D8" s="51">
        <f>SUM(D30:D41)</f>
        <v>66208.05</v>
      </c>
      <c r="E8" s="51">
        <f t="shared" ref="E8" si="1">SUM(E30:E41)</f>
        <v>21580.589999999997</v>
      </c>
      <c r="F8" s="51">
        <f>F41</f>
        <v>127342</v>
      </c>
      <c r="G8" s="51">
        <f>G41</f>
        <v>48235.280000000006</v>
      </c>
      <c r="H8" s="70">
        <f t="shared" ref="H8:H11" si="2">B8-D8</f>
        <v>233458</v>
      </c>
    </row>
    <row r="9" spans="1:8" x14ac:dyDescent="0.3">
      <c r="A9" s="74">
        <v>3</v>
      </c>
      <c r="B9" s="51">
        <f t="shared" ref="B9:B11" si="3">H8</f>
        <v>233458</v>
      </c>
      <c r="C9" s="51">
        <f t="shared" ref="C9:C11" si="4">$B$4*12</f>
        <v>87788.64</v>
      </c>
      <c r="D9" s="51">
        <f>SUM(D42:D53)</f>
        <v>71703.27</v>
      </c>
      <c r="E9" s="51">
        <f t="shared" ref="E9" si="5">SUM(E42:E53)</f>
        <v>16085.37</v>
      </c>
      <c r="F9" s="51">
        <f>F53</f>
        <v>199045.27000000002</v>
      </c>
      <c r="G9" s="51">
        <f>G53</f>
        <v>64320.65</v>
      </c>
      <c r="H9" s="70">
        <f t="shared" si="2"/>
        <v>161754.72999999998</v>
      </c>
    </row>
    <row r="10" spans="1:8" x14ac:dyDescent="0.3">
      <c r="A10" s="74">
        <v>4</v>
      </c>
      <c r="B10" s="51">
        <f t="shared" si="3"/>
        <v>161754.72999999998</v>
      </c>
      <c r="C10" s="51">
        <f t="shared" si="4"/>
        <v>87788.64</v>
      </c>
      <c r="D10" s="51">
        <f>SUM(D54:D65)</f>
        <v>77654.63</v>
      </c>
      <c r="E10" s="51">
        <f t="shared" ref="E10" si="6">SUM(E54:E65)</f>
        <v>10134.01</v>
      </c>
      <c r="F10" s="51">
        <f>F65</f>
        <v>276699.90000000002</v>
      </c>
      <c r="G10" s="51">
        <f>G65</f>
        <v>74454.659999999989</v>
      </c>
      <c r="H10" s="70">
        <f t="shared" si="2"/>
        <v>84100.099999999977</v>
      </c>
    </row>
    <row r="11" spans="1:8" x14ac:dyDescent="0.3">
      <c r="A11" s="75">
        <v>5</v>
      </c>
      <c r="B11" s="89">
        <f t="shared" si="3"/>
        <v>84100.099999999977</v>
      </c>
      <c r="C11" s="89">
        <f t="shared" si="4"/>
        <v>87788.64</v>
      </c>
      <c r="D11" s="89">
        <f>SUM(D66:D77)</f>
        <v>84099.9</v>
      </c>
      <c r="E11" s="89">
        <f t="shared" ref="E11" si="7">SUM(E66:E77)</f>
        <v>3688.74</v>
      </c>
      <c r="F11" s="89">
        <f>F77</f>
        <v>360799.80000000005</v>
      </c>
      <c r="G11" s="89">
        <f>G77</f>
        <v>78143.399999999994</v>
      </c>
      <c r="H11" s="88">
        <f t="shared" si="2"/>
        <v>0.1999999999825377</v>
      </c>
    </row>
    <row r="12" spans="1:8" x14ac:dyDescent="0.3">
      <c r="A12" s="54"/>
      <c r="B12" s="7"/>
      <c r="C12" s="52"/>
    </row>
    <row r="13" spans="1:8" x14ac:dyDescent="0.3">
      <c r="A13" s="54"/>
    </row>
    <row r="14" spans="1:8" x14ac:dyDescent="0.3">
      <c r="A14" s="54"/>
    </row>
    <row r="15" spans="1:8" x14ac:dyDescent="0.3">
      <c r="A15" s="54"/>
    </row>
    <row r="16" spans="1:8" x14ac:dyDescent="0.3">
      <c r="A16" s="54"/>
    </row>
    <row r="17" spans="1:8" x14ac:dyDescent="0.3">
      <c r="A17" s="55" t="s">
        <v>252</v>
      </c>
      <c r="B17" s="1" t="s">
        <v>245</v>
      </c>
      <c r="C17" s="1" t="s">
        <v>246</v>
      </c>
      <c r="D17" s="1" t="s">
        <v>247</v>
      </c>
      <c r="E17" s="1" t="s">
        <v>248</v>
      </c>
      <c r="F17" s="1" t="s">
        <v>249</v>
      </c>
      <c r="G17" s="1" t="s">
        <v>250</v>
      </c>
      <c r="H17" s="1" t="s">
        <v>251</v>
      </c>
    </row>
    <row r="18" spans="1:8" x14ac:dyDescent="0.3">
      <c r="A18" s="54">
        <v>1</v>
      </c>
      <c r="B18" s="7">
        <f>B1</f>
        <v>360800</v>
      </c>
      <c r="C18" s="7">
        <f>$B$4</f>
        <v>7315.72</v>
      </c>
      <c r="D18" s="7">
        <f>$C18-$E18</f>
        <v>4910.3900000000003</v>
      </c>
      <c r="E18" s="7">
        <f>ROUND($B18/12*($B$2), 2)</f>
        <v>2405.33</v>
      </c>
      <c r="F18" s="7">
        <f>D18</f>
        <v>4910.3900000000003</v>
      </c>
      <c r="G18" s="7">
        <f>E18</f>
        <v>2405.33</v>
      </c>
      <c r="H18" s="7">
        <f>$B18-$D18</f>
        <v>355889.61</v>
      </c>
    </row>
    <row r="19" spans="1:8" x14ac:dyDescent="0.3">
      <c r="A19" s="54">
        <v>2</v>
      </c>
      <c r="B19" s="7">
        <f>H18</f>
        <v>355889.61</v>
      </c>
      <c r="C19" s="7">
        <f t="shared" ref="C19:C78" si="8">$B$4</f>
        <v>7315.72</v>
      </c>
      <c r="D19" s="7">
        <f t="shared" ref="D19:D78" si="9">$C19-$E19</f>
        <v>4943.1200000000008</v>
      </c>
      <c r="E19" s="7">
        <f t="shared" ref="E19:E78" si="10">ROUND($B19/12*($B$2), 2)</f>
        <v>2372.6</v>
      </c>
      <c r="F19" s="7">
        <f>F18+D19</f>
        <v>9853.510000000002</v>
      </c>
      <c r="G19" s="53">
        <f>$E19+$G18</f>
        <v>4777.93</v>
      </c>
      <c r="H19" s="7">
        <f t="shared" ref="H19:H78" si="11">$B19-$D19</f>
        <v>350946.49</v>
      </c>
    </row>
    <row r="20" spans="1:8" x14ac:dyDescent="0.3">
      <c r="A20" s="54">
        <v>3</v>
      </c>
      <c r="B20" s="7">
        <f t="shared" ref="B20:B77" si="12">H19</f>
        <v>350946.49</v>
      </c>
      <c r="C20" s="7">
        <f t="shared" si="8"/>
        <v>7315.72</v>
      </c>
      <c r="D20" s="7">
        <f t="shared" si="9"/>
        <v>4976.08</v>
      </c>
      <c r="E20" s="7">
        <f t="shared" si="10"/>
        <v>2339.64</v>
      </c>
      <c r="F20" s="7">
        <f t="shared" ref="F20:F77" si="13">F19+D20</f>
        <v>14829.590000000002</v>
      </c>
      <c r="G20" s="53">
        <f t="shared" ref="G20:G78" si="14">$E20+$G19</f>
        <v>7117.57</v>
      </c>
      <c r="H20" s="7">
        <f t="shared" si="11"/>
        <v>345970.41</v>
      </c>
    </row>
    <row r="21" spans="1:8" x14ac:dyDescent="0.3">
      <c r="A21" s="54">
        <v>4</v>
      </c>
      <c r="B21" s="7">
        <f t="shared" si="12"/>
        <v>345970.41</v>
      </c>
      <c r="C21" s="7">
        <f t="shared" si="8"/>
        <v>7315.72</v>
      </c>
      <c r="D21" s="7">
        <f t="shared" si="9"/>
        <v>5009.25</v>
      </c>
      <c r="E21" s="7">
        <f t="shared" si="10"/>
        <v>2306.4699999999998</v>
      </c>
      <c r="F21" s="7">
        <f t="shared" si="13"/>
        <v>19838.840000000004</v>
      </c>
      <c r="G21" s="53">
        <f t="shared" si="14"/>
        <v>9424.0399999999991</v>
      </c>
      <c r="H21" s="7">
        <f t="shared" si="11"/>
        <v>340961.16</v>
      </c>
    </row>
    <row r="22" spans="1:8" x14ac:dyDescent="0.3">
      <c r="A22" s="54">
        <v>5</v>
      </c>
      <c r="B22" s="7">
        <f t="shared" si="12"/>
        <v>340961.16</v>
      </c>
      <c r="C22" s="7">
        <f t="shared" si="8"/>
        <v>7315.72</v>
      </c>
      <c r="D22" s="7">
        <f t="shared" si="9"/>
        <v>5042.6499999999996</v>
      </c>
      <c r="E22" s="7">
        <f t="shared" si="10"/>
        <v>2273.0700000000002</v>
      </c>
      <c r="F22" s="7">
        <f t="shared" si="13"/>
        <v>24881.490000000005</v>
      </c>
      <c r="G22" s="53">
        <f t="shared" si="14"/>
        <v>11697.109999999999</v>
      </c>
      <c r="H22" s="7">
        <f t="shared" si="11"/>
        <v>335918.50999999995</v>
      </c>
    </row>
    <row r="23" spans="1:8" x14ac:dyDescent="0.3">
      <c r="A23" s="54">
        <v>6</v>
      </c>
      <c r="B23" s="7">
        <f t="shared" si="12"/>
        <v>335918.50999999995</v>
      </c>
      <c r="C23" s="7">
        <f t="shared" si="8"/>
        <v>7315.72</v>
      </c>
      <c r="D23" s="7">
        <f t="shared" si="9"/>
        <v>5076.26</v>
      </c>
      <c r="E23" s="7">
        <f t="shared" si="10"/>
        <v>2239.46</v>
      </c>
      <c r="F23" s="7">
        <f t="shared" si="13"/>
        <v>29957.750000000007</v>
      </c>
      <c r="G23" s="53">
        <f t="shared" si="14"/>
        <v>13936.57</v>
      </c>
      <c r="H23" s="7">
        <f t="shared" si="11"/>
        <v>330842.24999999994</v>
      </c>
    </row>
    <row r="24" spans="1:8" x14ac:dyDescent="0.3">
      <c r="A24" s="54">
        <v>7</v>
      </c>
      <c r="B24" s="7">
        <f t="shared" si="12"/>
        <v>330842.24999999994</v>
      </c>
      <c r="C24" s="7">
        <f t="shared" si="8"/>
        <v>7315.72</v>
      </c>
      <c r="D24" s="7">
        <f t="shared" si="9"/>
        <v>5110.1000000000004</v>
      </c>
      <c r="E24" s="7">
        <f t="shared" si="10"/>
        <v>2205.62</v>
      </c>
      <c r="F24" s="7">
        <f t="shared" si="13"/>
        <v>35067.850000000006</v>
      </c>
      <c r="G24" s="53">
        <f t="shared" si="14"/>
        <v>16142.189999999999</v>
      </c>
      <c r="H24" s="7">
        <f t="shared" si="11"/>
        <v>325732.14999999997</v>
      </c>
    </row>
    <row r="25" spans="1:8" x14ac:dyDescent="0.3">
      <c r="A25" s="54">
        <v>8</v>
      </c>
      <c r="B25" s="7">
        <f t="shared" si="12"/>
        <v>325732.14999999997</v>
      </c>
      <c r="C25" s="7">
        <f t="shared" si="8"/>
        <v>7315.72</v>
      </c>
      <c r="D25" s="7">
        <f t="shared" si="9"/>
        <v>5144.17</v>
      </c>
      <c r="E25" s="7">
        <f t="shared" si="10"/>
        <v>2171.5500000000002</v>
      </c>
      <c r="F25" s="7">
        <f t="shared" si="13"/>
        <v>40212.020000000004</v>
      </c>
      <c r="G25" s="53">
        <f t="shared" si="14"/>
        <v>18313.739999999998</v>
      </c>
      <c r="H25" s="7">
        <f t="shared" si="11"/>
        <v>320587.98</v>
      </c>
    </row>
    <row r="26" spans="1:8" x14ac:dyDescent="0.3">
      <c r="A26" s="54">
        <v>9</v>
      </c>
      <c r="B26" s="7">
        <f t="shared" si="12"/>
        <v>320587.98</v>
      </c>
      <c r="C26" s="7">
        <f t="shared" si="8"/>
        <v>7315.72</v>
      </c>
      <c r="D26" s="7">
        <f t="shared" si="9"/>
        <v>5178.47</v>
      </c>
      <c r="E26" s="7">
        <f t="shared" si="10"/>
        <v>2137.25</v>
      </c>
      <c r="F26" s="7">
        <f t="shared" si="13"/>
        <v>45390.490000000005</v>
      </c>
      <c r="G26" s="53">
        <f t="shared" si="14"/>
        <v>20450.989999999998</v>
      </c>
      <c r="H26" s="7">
        <f t="shared" si="11"/>
        <v>315409.51</v>
      </c>
    </row>
    <row r="27" spans="1:8" x14ac:dyDescent="0.3">
      <c r="A27" s="54">
        <v>10</v>
      </c>
      <c r="B27" s="7">
        <f t="shared" si="12"/>
        <v>315409.51</v>
      </c>
      <c r="C27" s="7">
        <f t="shared" si="8"/>
        <v>7315.72</v>
      </c>
      <c r="D27" s="7">
        <f t="shared" si="9"/>
        <v>5212.99</v>
      </c>
      <c r="E27" s="7">
        <f t="shared" si="10"/>
        <v>2102.73</v>
      </c>
      <c r="F27" s="7">
        <f t="shared" si="13"/>
        <v>50603.48</v>
      </c>
      <c r="G27" s="53">
        <f t="shared" si="14"/>
        <v>22553.719999999998</v>
      </c>
      <c r="H27" s="7">
        <f t="shared" si="11"/>
        <v>310196.52</v>
      </c>
    </row>
    <row r="28" spans="1:8" x14ac:dyDescent="0.3">
      <c r="A28" s="54">
        <v>11</v>
      </c>
      <c r="B28" s="7">
        <f t="shared" si="12"/>
        <v>310196.52</v>
      </c>
      <c r="C28" s="7">
        <f t="shared" si="8"/>
        <v>7315.72</v>
      </c>
      <c r="D28" s="7">
        <f t="shared" si="9"/>
        <v>5247.74</v>
      </c>
      <c r="E28" s="7">
        <f t="shared" si="10"/>
        <v>2067.98</v>
      </c>
      <c r="F28" s="7">
        <f t="shared" si="13"/>
        <v>55851.22</v>
      </c>
      <c r="G28" s="53">
        <f t="shared" si="14"/>
        <v>24621.699999999997</v>
      </c>
      <c r="H28" s="7">
        <f t="shared" si="11"/>
        <v>304948.78000000003</v>
      </c>
    </row>
    <row r="29" spans="1:8" x14ac:dyDescent="0.3">
      <c r="A29" s="54">
        <v>12</v>
      </c>
      <c r="B29" s="7">
        <f t="shared" si="12"/>
        <v>304948.78000000003</v>
      </c>
      <c r="C29" s="7">
        <f t="shared" si="8"/>
        <v>7315.72</v>
      </c>
      <c r="D29" s="7">
        <f t="shared" si="9"/>
        <v>5282.7300000000005</v>
      </c>
      <c r="E29" s="7">
        <f t="shared" si="10"/>
        <v>2032.99</v>
      </c>
      <c r="F29" s="7">
        <f t="shared" si="13"/>
        <v>61133.950000000004</v>
      </c>
      <c r="G29" s="53">
        <f t="shared" si="14"/>
        <v>26654.69</v>
      </c>
      <c r="H29" s="7">
        <f t="shared" si="11"/>
        <v>299666.05000000005</v>
      </c>
    </row>
    <row r="30" spans="1:8" x14ac:dyDescent="0.3">
      <c r="A30" s="54">
        <v>13</v>
      </c>
      <c r="B30" s="7">
        <f t="shared" si="12"/>
        <v>299666.05000000005</v>
      </c>
      <c r="C30" s="7">
        <f t="shared" si="8"/>
        <v>7315.72</v>
      </c>
      <c r="D30" s="7">
        <f t="shared" si="9"/>
        <v>5317.9500000000007</v>
      </c>
      <c r="E30" s="7">
        <f t="shared" si="10"/>
        <v>1997.77</v>
      </c>
      <c r="F30" s="7">
        <f t="shared" si="13"/>
        <v>66451.900000000009</v>
      </c>
      <c r="G30" s="53">
        <f t="shared" si="14"/>
        <v>28652.46</v>
      </c>
      <c r="H30" s="7">
        <f t="shared" si="11"/>
        <v>294348.10000000003</v>
      </c>
    </row>
    <row r="31" spans="1:8" x14ac:dyDescent="0.3">
      <c r="A31" s="54">
        <v>14</v>
      </c>
      <c r="B31" s="7">
        <f t="shared" si="12"/>
        <v>294348.10000000003</v>
      </c>
      <c r="C31" s="7">
        <f t="shared" si="8"/>
        <v>7315.72</v>
      </c>
      <c r="D31" s="7">
        <f t="shared" si="9"/>
        <v>5353.4000000000005</v>
      </c>
      <c r="E31" s="7">
        <f t="shared" si="10"/>
        <v>1962.32</v>
      </c>
      <c r="F31" s="7">
        <f t="shared" si="13"/>
        <v>71805.3</v>
      </c>
      <c r="G31" s="53">
        <f t="shared" si="14"/>
        <v>30614.78</v>
      </c>
      <c r="H31" s="7">
        <f t="shared" si="11"/>
        <v>288994.7</v>
      </c>
    </row>
    <row r="32" spans="1:8" x14ac:dyDescent="0.3">
      <c r="A32" s="54">
        <v>15</v>
      </c>
      <c r="B32" s="7">
        <f t="shared" si="12"/>
        <v>288994.7</v>
      </c>
      <c r="C32" s="7">
        <f t="shared" si="8"/>
        <v>7315.72</v>
      </c>
      <c r="D32" s="7">
        <f t="shared" si="9"/>
        <v>5389.09</v>
      </c>
      <c r="E32" s="7">
        <f t="shared" si="10"/>
        <v>1926.63</v>
      </c>
      <c r="F32" s="7">
        <f t="shared" si="13"/>
        <v>77194.39</v>
      </c>
      <c r="G32" s="53">
        <f t="shared" si="14"/>
        <v>32541.41</v>
      </c>
      <c r="H32" s="7">
        <f t="shared" si="11"/>
        <v>283605.61</v>
      </c>
    </row>
    <row r="33" spans="1:8" x14ac:dyDescent="0.3">
      <c r="A33" s="54">
        <v>16</v>
      </c>
      <c r="B33" s="7">
        <f t="shared" si="12"/>
        <v>283605.61</v>
      </c>
      <c r="C33" s="7">
        <f t="shared" si="8"/>
        <v>7315.72</v>
      </c>
      <c r="D33" s="7">
        <f t="shared" si="9"/>
        <v>5425.02</v>
      </c>
      <c r="E33" s="7">
        <f t="shared" si="10"/>
        <v>1890.7</v>
      </c>
      <c r="F33" s="7">
        <f t="shared" si="13"/>
        <v>82619.41</v>
      </c>
      <c r="G33" s="53">
        <f t="shared" si="14"/>
        <v>34432.11</v>
      </c>
      <c r="H33" s="7">
        <f t="shared" si="11"/>
        <v>278180.58999999997</v>
      </c>
    </row>
    <row r="34" spans="1:8" x14ac:dyDescent="0.3">
      <c r="A34" s="54">
        <v>17</v>
      </c>
      <c r="B34" s="7">
        <f t="shared" si="12"/>
        <v>278180.58999999997</v>
      </c>
      <c r="C34" s="7">
        <f t="shared" si="8"/>
        <v>7315.72</v>
      </c>
      <c r="D34" s="7">
        <f t="shared" si="9"/>
        <v>5461.18</v>
      </c>
      <c r="E34" s="7">
        <f t="shared" si="10"/>
        <v>1854.54</v>
      </c>
      <c r="F34" s="7">
        <f t="shared" si="13"/>
        <v>88080.59</v>
      </c>
      <c r="G34" s="53">
        <f t="shared" si="14"/>
        <v>36286.65</v>
      </c>
      <c r="H34" s="7">
        <f t="shared" si="11"/>
        <v>272719.40999999997</v>
      </c>
    </row>
    <row r="35" spans="1:8" x14ac:dyDescent="0.3">
      <c r="A35" s="54">
        <v>18</v>
      </c>
      <c r="B35" s="7">
        <f t="shared" si="12"/>
        <v>272719.40999999997</v>
      </c>
      <c r="C35" s="7">
        <f t="shared" si="8"/>
        <v>7315.72</v>
      </c>
      <c r="D35" s="7">
        <f t="shared" si="9"/>
        <v>5497.59</v>
      </c>
      <c r="E35" s="7">
        <f t="shared" si="10"/>
        <v>1818.13</v>
      </c>
      <c r="F35" s="7">
        <f t="shared" si="13"/>
        <v>93578.18</v>
      </c>
      <c r="G35" s="53">
        <f t="shared" si="14"/>
        <v>38104.78</v>
      </c>
      <c r="H35" s="7">
        <f t="shared" si="11"/>
        <v>267221.81999999995</v>
      </c>
    </row>
    <row r="36" spans="1:8" x14ac:dyDescent="0.3">
      <c r="A36" s="54">
        <v>19</v>
      </c>
      <c r="B36" s="7">
        <f t="shared" si="12"/>
        <v>267221.81999999995</v>
      </c>
      <c r="C36" s="7">
        <f t="shared" si="8"/>
        <v>7315.72</v>
      </c>
      <c r="D36" s="7">
        <f t="shared" si="9"/>
        <v>5534.24</v>
      </c>
      <c r="E36" s="7">
        <f t="shared" si="10"/>
        <v>1781.48</v>
      </c>
      <c r="F36" s="7">
        <f t="shared" si="13"/>
        <v>99112.42</v>
      </c>
      <c r="G36" s="53">
        <f t="shared" si="14"/>
        <v>39886.26</v>
      </c>
      <c r="H36" s="7">
        <f t="shared" si="11"/>
        <v>261687.57999999996</v>
      </c>
    </row>
    <row r="37" spans="1:8" x14ac:dyDescent="0.3">
      <c r="A37" s="54">
        <v>20</v>
      </c>
      <c r="B37" s="7">
        <f t="shared" si="12"/>
        <v>261687.57999999996</v>
      </c>
      <c r="C37" s="7">
        <f t="shared" si="8"/>
        <v>7315.72</v>
      </c>
      <c r="D37" s="7">
        <f t="shared" si="9"/>
        <v>5571.14</v>
      </c>
      <c r="E37" s="7">
        <f t="shared" si="10"/>
        <v>1744.58</v>
      </c>
      <c r="F37" s="7">
        <f t="shared" si="13"/>
        <v>104683.56</v>
      </c>
      <c r="G37" s="53">
        <f t="shared" si="14"/>
        <v>41630.840000000004</v>
      </c>
      <c r="H37" s="7">
        <f t="shared" si="11"/>
        <v>256116.43999999994</v>
      </c>
    </row>
    <row r="38" spans="1:8" x14ac:dyDescent="0.3">
      <c r="A38" s="54">
        <v>21</v>
      </c>
      <c r="B38" s="7">
        <f t="shared" si="12"/>
        <v>256116.43999999994</v>
      </c>
      <c r="C38" s="7">
        <f t="shared" si="8"/>
        <v>7315.72</v>
      </c>
      <c r="D38" s="7">
        <f t="shared" si="9"/>
        <v>5608.2800000000007</v>
      </c>
      <c r="E38" s="7">
        <f t="shared" si="10"/>
        <v>1707.44</v>
      </c>
      <c r="F38" s="7">
        <f t="shared" si="13"/>
        <v>110291.84</v>
      </c>
      <c r="G38" s="53">
        <f t="shared" si="14"/>
        <v>43338.280000000006</v>
      </c>
      <c r="H38" s="7">
        <f t="shared" si="11"/>
        <v>250508.15999999995</v>
      </c>
    </row>
    <row r="39" spans="1:8" x14ac:dyDescent="0.3">
      <c r="A39" s="54">
        <v>22</v>
      </c>
      <c r="B39" s="7">
        <f t="shared" si="12"/>
        <v>250508.15999999995</v>
      </c>
      <c r="C39" s="7">
        <f t="shared" si="8"/>
        <v>7315.72</v>
      </c>
      <c r="D39" s="7">
        <f t="shared" si="9"/>
        <v>5645.67</v>
      </c>
      <c r="E39" s="7">
        <f t="shared" si="10"/>
        <v>1670.05</v>
      </c>
      <c r="F39" s="7">
        <f t="shared" si="13"/>
        <v>115937.51</v>
      </c>
      <c r="G39" s="53">
        <f t="shared" si="14"/>
        <v>45008.330000000009</v>
      </c>
      <c r="H39" s="7">
        <f t="shared" si="11"/>
        <v>244862.48999999993</v>
      </c>
    </row>
    <row r="40" spans="1:8" x14ac:dyDescent="0.3">
      <c r="A40" s="54">
        <v>23</v>
      </c>
      <c r="B40" s="7">
        <f t="shared" si="12"/>
        <v>244862.48999999993</v>
      </c>
      <c r="C40" s="7">
        <f t="shared" si="8"/>
        <v>7315.72</v>
      </c>
      <c r="D40" s="7">
        <f t="shared" si="9"/>
        <v>5683.3</v>
      </c>
      <c r="E40" s="7">
        <f t="shared" si="10"/>
        <v>1632.42</v>
      </c>
      <c r="F40" s="7">
        <f t="shared" si="13"/>
        <v>121620.81</v>
      </c>
      <c r="G40" s="53">
        <f t="shared" si="14"/>
        <v>46640.750000000007</v>
      </c>
      <c r="H40" s="7">
        <f t="shared" si="11"/>
        <v>239179.18999999994</v>
      </c>
    </row>
    <row r="41" spans="1:8" x14ac:dyDescent="0.3">
      <c r="A41" s="54">
        <v>24</v>
      </c>
      <c r="B41" s="7">
        <f t="shared" si="12"/>
        <v>239179.18999999994</v>
      </c>
      <c r="C41" s="7">
        <f t="shared" si="8"/>
        <v>7315.72</v>
      </c>
      <c r="D41" s="7">
        <f t="shared" si="9"/>
        <v>5721.1900000000005</v>
      </c>
      <c r="E41" s="7">
        <f t="shared" si="10"/>
        <v>1594.53</v>
      </c>
      <c r="F41" s="7">
        <f t="shared" si="13"/>
        <v>127342</v>
      </c>
      <c r="G41" s="53">
        <f t="shared" si="14"/>
        <v>48235.280000000006</v>
      </c>
      <c r="H41" s="7">
        <f t="shared" si="11"/>
        <v>233457.99999999994</v>
      </c>
    </row>
    <row r="42" spans="1:8" x14ac:dyDescent="0.3">
      <c r="A42" s="54">
        <v>25</v>
      </c>
      <c r="B42" s="7">
        <f t="shared" si="12"/>
        <v>233457.99999999994</v>
      </c>
      <c r="C42" s="7">
        <f t="shared" si="8"/>
        <v>7315.72</v>
      </c>
      <c r="D42" s="7">
        <f t="shared" si="9"/>
        <v>5759.33</v>
      </c>
      <c r="E42" s="7">
        <f t="shared" si="10"/>
        <v>1556.39</v>
      </c>
      <c r="F42" s="7">
        <f t="shared" si="13"/>
        <v>133101.32999999999</v>
      </c>
      <c r="G42" s="53">
        <f t="shared" si="14"/>
        <v>49791.670000000006</v>
      </c>
      <c r="H42" s="7">
        <f t="shared" si="11"/>
        <v>227698.66999999995</v>
      </c>
    </row>
    <row r="43" spans="1:8" x14ac:dyDescent="0.3">
      <c r="A43" s="54">
        <v>26</v>
      </c>
      <c r="B43" s="7">
        <f t="shared" si="12"/>
        <v>227698.66999999995</v>
      </c>
      <c r="C43" s="7">
        <f t="shared" si="8"/>
        <v>7315.72</v>
      </c>
      <c r="D43" s="7">
        <f t="shared" si="9"/>
        <v>5797.7300000000005</v>
      </c>
      <c r="E43" s="7">
        <f t="shared" si="10"/>
        <v>1517.99</v>
      </c>
      <c r="F43" s="7">
        <f t="shared" si="13"/>
        <v>138899.06</v>
      </c>
      <c r="G43" s="53">
        <f t="shared" si="14"/>
        <v>51309.66</v>
      </c>
      <c r="H43" s="7">
        <f t="shared" si="11"/>
        <v>221900.93999999994</v>
      </c>
    </row>
    <row r="44" spans="1:8" x14ac:dyDescent="0.3">
      <c r="A44" s="54">
        <v>27</v>
      </c>
      <c r="B44" s="7">
        <f t="shared" si="12"/>
        <v>221900.93999999994</v>
      </c>
      <c r="C44" s="7">
        <f t="shared" si="8"/>
        <v>7315.72</v>
      </c>
      <c r="D44" s="7">
        <f t="shared" si="9"/>
        <v>5836.38</v>
      </c>
      <c r="E44" s="7">
        <f t="shared" si="10"/>
        <v>1479.34</v>
      </c>
      <c r="F44" s="7">
        <f t="shared" si="13"/>
        <v>144735.44</v>
      </c>
      <c r="G44" s="53">
        <f t="shared" si="14"/>
        <v>52789</v>
      </c>
      <c r="H44" s="7">
        <f t="shared" si="11"/>
        <v>216064.55999999994</v>
      </c>
    </row>
    <row r="45" spans="1:8" x14ac:dyDescent="0.3">
      <c r="A45" s="54">
        <v>28</v>
      </c>
      <c r="B45" s="7">
        <f t="shared" si="12"/>
        <v>216064.55999999994</v>
      </c>
      <c r="C45" s="7">
        <f t="shared" si="8"/>
        <v>7315.72</v>
      </c>
      <c r="D45" s="7">
        <f t="shared" si="9"/>
        <v>5875.29</v>
      </c>
      <c r="E45" s="7">
        <f t="shared" si="10"/>
        <v>1440.43</v>
      </c>
      <c r="F45" s="7">
        <f t="shared" si="13"/>
        <v>150610.73000000001</v>
      </c>
      <c r="G45" s="53">
        <f t="shared" si="14"/>
        <v>54229.43</v>
      </c>
      <c r="H45" s="7">
        <f t="shared" si="11"/>
        <v>210189.26999999993</v>
      </c>
    </row>
    <row r="46" spans="1:8" x14ac:dyDescent="0.3">
      <c r="A46" s="54">
        <v>29</v>
      </c>
      <c r="B46" s="7">
        <f t="shared" si="12"/>
        <v>210189.26999999993</v>
      </c>
      <c r="C46" s="7">
        <f t="shared" si="8"/>
        <v>7315.72</v>
      </c>
      <c r="D46" s="7">
        <f t="shared" si="9"/>
        <v>5914.46</v>
      </c>
      <c r="E46" s="7">
        <f t="shared" si="10"/>
        <v>1401.26</v>
      </c>
      <c r="F46" s="7">
        <f t="shared" si="13"/>
        <v>156525.19</v>
      </c>
      <c r="G46" s="53">
        <f t="shared" si="14"/>
        <v>55630.69</v>
      </c>
      <c r="H46" s="7">
        <f t="shared" si="11"/>
        <v>204274.80999999994</v>
      </c>
    </row>
    <row r="47" spans="1:8" x14ac:dyDescent="0.3">
      <c r="A47" s="54">
        <v>30</v>
      </c>
      <c r="B47" s="7">
        <f t="shared" si="12"/>
        <v>204274.80999999994</v>
      </c>
      <c r="C47" s="7">
        <f t="shared" si="8"/>
        <v>7315.72</v>
      </c>
      <c r="D47" s="7">
        <f t="shared" si="9"/>
        <v>5953.89</v>
      </c>
      <c r="E47" s="7">
        <f t="shared" si="10"/>
        <v>1361.83</v>
      </c>
      <c r="F47" s="7">
        <f t="shared" si="13"/>
        <v>162479.08000000002</v>
      </c>
      <c r="G47" s="53">
        <f t="shared" si="14"/>
        <v>56992.520000000004</v>
      </c>
      <c r="H47" s="7">
        <f t="shared" si="11"/>
        <v>198320.91999999993</v>
      </c>
    </row>
    <row r="48" spans="1:8" x14ac:dyDescent="0.3">
      <c r="A48" s="54">
        <v>31</v>
      </c>
      <c r="B48" s="7">
        <f t="shared" si="12"/>
        <v>198320.91999999993</v>
      </c>
      <c r="C48" s="7">
        <f t="shared" si="8"/>
        <v>7315.72</v>
      </c>
      <c r="D48" s="7">
        <f t="shared" si="9"/>
        <v>5993.58</v>
      </c>
      <c r="E48" s="7">
        <f t="shared" si="10"/>
        <v>1322.14</v>
      </c>
      <c r="F48" s="7">
        <f t="shared" si="13"/>
        <v>168472.66</v>
      </c>
      <c r="G48" s="53">
        <f t="shared" si="14"/>
        <v>58314.66</v>
      </c>
      <c r="H48" s="7">
        <f t="shared" si="11"/>
        <v>192327.33999999994</v>
      </c>
    </row>
    <row r="49" spans="1:8" x14ac:dyDescent="0.3">
      <c r="A49" s="54">
        <v>32</v>
      </c>
      <c r="B49" s="7">
        <f t="shared" si="12"/>
        <v>192327.33999999994</v>
      </c>
      <c r="C49" s="7">
        <f t="shared" si="8"/>
        <v>7315.72</v>
      </c>
      <c r="D49" s="7">
        <f t="shared" si="9"/>
        <v>6033.54</v>
      </c>
      <c r="E49" s="7">
        <f t="shared" si="10"/>
        <v>1282.18</v>
      </c>
      <c r="F49" s="7">
        <f t="shared" si="13"/>
        <v>174506.2</v>
      </c>
      <c r="G49" s="53">
        <f t="shared" si="14"/>
        <v>59596.840000000004</v>
      </c>
      <c r="H49" s="7">
        <f t="shared" si="11"/>
        <v>186293.79999999993</v>
      </c>
    </row>
    <row r="50" spans="1:8" x14ac:dyDescent="0.3">
      <c r="A50" s="54">
        <v>33</v>
      </c>
      <c r="B50" s="7">
        <f t="shared" si="12"/>
        <v>186293.79999999993</v>
      </c>
      <c r="C50" s="7">
        <f t="shared" si="8"/>
        <v>7315.72</v>
      </c>
      <c r="D50" s="7">
        <f t="shared" si="9"/>
        <v>6073.76</v>
      </c>
      <c r="E50" s="7">
        <f t="shared" si="10"/>
        <v>1241.96</v>
      </c>
      <c r="F50" s="7">
        <f t="shared" si="13"/>
        <v>180579.96000000002</v>
      </c>
      <c r="G50" s="53">
        <f t="shared" si="14"/>
        <v>60838.8</v>
      </c>
      <c r="H50" s="7">
        <f t="shared" si="11"/>
        <v>180220.03999999992</v>
      </c>
    </row>
    <row r="51" spans="1:8" x14ac:dyDescent="0.3">
      <c r="A51" s="54">
        <v>34</v>
      </c>
      <c r="B51" s="7">
        <f t="shared" si="12"/>
        <v>180220.03999999992</v>
      </c>
      <c r="C51" s="7">
        <f t="shared" si="8"/>
        <v>7315.72</v>
      </c>
      <c r="D51" s="7">
        <f t="shared" si="9"/>
        <v>6114.25</v>
      </c>
      <c r="E51" s="7">
        <f t="shared" si="10"/>
        <v>1201.47</v>
      </c>
      <c r="F51" s="7">
        <f t="shared" si="13"/>
        <v>186694.21000000002</v>
      </c>
      <c r="G51" s="53">
        <f t="shared" si="14"/>
        <v>62040.270000000004</v>
      </c>
      <c r="H51" s="7">
        <f t="shared" si="11"/>
        <v>174105.78999999992</v>
      </c>
    </row>
    <row r="52" spans="1:8" x14ac:dyDescent="0.3">
      <c r="A52" s="54">
        <v>35</v>
      </c>
      <c r="B52" s="7">
        <f t="shared" si="12"/>
        <v>174105.78999999992</v>
      </c>
      <c r="C52" s="7">
        <f t="shared" si="8"/>
        <v>7315.72</v>
      </c>
      <c r="D52" s="7">
        <f t="shared" si="9"/>
        <v>6155.01</v>
      </c>
      <c r="E52" s="7">
        <f t="shared" si="10"/>
        <v>1160.71</v>
      </c>
      <c r="F52" s="7">
        <f t="shared" si="13"/>
        <v>192849.22000000003</v>
      </c>
      <c r="G52" s="53">
        <f t="shared" si="14"/>
        <v>63200.98</v>
      </c>
      <c r="H52" s="7">
        <f t="shared" si="11"/>
        <v>167950.77999999991</v>
      </c>
    </row>
    <row r="53" spans="1:8" x14ac:dyDescent="0.3">
      <c r="A53" s="54">
        <v>36</v>
      </c>
      <c r="B53" s="7">
        <f t="shared" si="12"/>
        <v>167950.77999999991</v>
      </c>
      <c r="C53" s="7">
        <f t="shared" si="8"/>
        <v>7315.72</v>
      </c>
      <c r="D53" s="7">
        <f t="shared" si="9"/>
        <v>6196.05</v>
      </c>
      <c r="E53" s="7">
        <f t="shared" si="10"/>
        <v>1119.67</v>
      </c>
      <c r="F53" s="7">
        <f t="shared" si="13"/>
        <v>199045.27000000002</v>
      </c>
      <c r="G53" s="53">
        <f t="shared" si="14"/>
        <v>64320.65</v>
      </c>
      <c r="H53" s="7">
        <f t="shared" si="11"/>
        <v>161754.72999999992</v>
      </c>
    </row>
    <row r="54" spans="1:8" x14ac:dyDescent="0.3">
      <c r="A54" s="54">
        <v>37</v>
      </c>
      <c r="B54" s="7">
        <f t="shared" si="12"/>
        <v>161754.72999999992</v>
      </c>
      <c r="C54" s="7">
        <f t="shared" si="8"/>
        <v>7315.72</v>
      </c>
      <c r="D54" s="7">
        <f t="shared" si="9"/>
        <v>6237.3600000000006</v>
      </c>
      <c r="E54" s="7">
        <f t="shared" si="10"/>
        <v>1078.3599999999999</v>
      </c>
      <c r="F54" s="7">
        <f t="shared" si="13"/>
        <v>205282.63</v>
      </c>
      <c r="G54" s="53">
        <f t="shared" si="14"/>
        <v>65399.01</v>
      </c>
      <c r="H54" s="7">
        <f t="shared" si="11"/>
        <v>155517.36999999994</v>
      </c>
    </row>
    <row r="55" spans="1:8" x14ac:dyDescent="0.3">
      <c r="A55" s="54">
        <v>38</v>
      </c>
      <c r="B55" s="7">
        <f t="shared" si="12"/>
        <v>155517.36999999994</v>
      </c>
      <c r="C55" s="7">
        <f t="shared" si="8"/>
        <v>7315.72</v>
      </c>
      <c r="D55" s="7">
        <f t="shared" si="9"/>
        <v>6278.9400000000005</v>
      </c>
      <c r="E55" s="7">
        <f t="shared" si="10"/>
        <v>1036.78</v>
      </c>
      <c r="F55" s="7">
        <f t="shared" si="13"/>
        <v>211561.57</v>
      </c>
      <c r="G55" s="53">
        <f t="shared" si="14"/>
        <v>66435.790000000008</v>
      </c>
      <c r="H55" s="7">
        <f t="shared" si="11"/>
        <v>149238.42999999993</v>
      </c>
    </row>
    <row r="56" spans="1:8" x14ac:dyDescent="0.3">
      <c r="A56" s="54">
        <v>39</v>
      </c>
      <c r="B56" s="7">
        <f t="shared" si="12"/>
        <v>149238.42999999993</v>
      </c>
      <c r="C56" s="7">
        <f t="shared" si="8"/>
        <v>7315.72</v>
      </c>
      <c r="D56" s="7">
        <f t="shared" si="9"/>
        <v>6320.8</v>
      </c>
      <c r="E56" s="7">
        <f t="shared" si="10"/>
        <v>994.92</v>
      </c>
      <c r="F56" s="7">
        <f t="shared" si="13"/>
        <v>217882.37</v>
      </c>
      <c r="G56" s="53">
        <f t="shared" si="14"/>
        <v>67430.710000000006</v>
      </c>
      <c r="H56" s="7">
        <f t="shared" si="11"/>
        <v>142917.62999999995</v>
      </c>
    </row>
    <row r="57" spans="1:8" x14ac:dyDescent="0.3">
      <c r="A57" s="54">
        <v>40</v>
      </c>
      <c r="B57" s="7">
        <f t="shared" si="12"/>
        <v>142917.62999999995</v>
      </c>
      <c r="C57" s="7">
        <f t="shared" si="8"/>
        <v>7315.72</v>
      </c>
      <c r="D57" s="7">
        <f t="shared" si="9"/>
        <v>6362.9400000000005</v>
      </c>
      <c r="E57" s="7">
        <f t="shared" si="10"/>
        <v>952.78</v>
      </c>
      <c r="F57" s="7">
        <f t="shared" si="13"/>
        <v>224245.31</v>
      </c>
      <c r="G57" s="53">
        <f t="shared" si="14"/>
        <v>68383.490000000005</v>
      </c>
      <c r="H57" s="7">
        <f t="shared" si="11"/>
        <v>136554.68999999994</v>
      </c>
    </row>
    <row r="58" spans="1:8" x14ac:dyDescent="0.3">
      <c r="A58" s="54">
        <v>41</v>
      </c>
      <c r="B58" s="7">
        <f t="shared" si="12"/>
        <v>136554.68999999994</v>
      </c>
      <c r="C58" s="7">
        <f t="shared" si="8"/>
        <v>7315.72</v>
      </c>
      <c r="D58" s="7">
        <f t="shared" si="9"/>
        <v>6405.3600000000006</v>
      </c>
      <c r="E58" s="7">
        <f t="shared" si="10"/>
        <v>910.36</v>
      </c>
      <c r="F58" s="7">
        <f t="shared" si="13"/>
        <v>230650.66999999998</v>
      </c>
      <c r="G58" s="53">
        <f t="shared" si="14"/>
        <v>69293.850000000006</v>
      </c>
      <c r="H58" s="7">
        <f t="shared" si="11"/>
        <v>130149.32999999994</v>
      </c>
    </row>
    <row r="59" spans="1:8" x14ac:dyDescent="0.3">
      <c r="A59" s="54">
        <v>42</v>
      </c>
      <c r="B59" s="7">
        <f t="shared" si="12"/>
        <v>130149.32999999994</v>
      </c>
      <c r="C59" s="7">
        <f t="shared" si="8"/>
        <v>7315.72</v>
      </c>
      <c r="D59" s="7">
        <f t="shared" si="9"/>
        <v>6448.06</v>
      </c>
      <c r="E59" s="7">
        <f t="shared" si="10"/>
        <v>867.66</v>
      </c>
      <c r="F59" s="7">
        <f t="shared" si="13"/>
        <v>237098.72999999998</v>
      </c>
      <c r="G59" s="53">
        <f t="shared" si="14"/>
        <v>70161.510000000009</v>
      </c>
      <c r="H59" s="7">
        <f t="shared" si="11"/>
        <v>123701.26999999995</v>
      </c>
    </row>
    <row r="60" spans="1:8" x14ac:dyDescent="0.3">
      <c r="A60" s="54">
        <v>43</v>
      </c>
      <c r="B60" s="7">
        <f t="shared" si="12"/>
        <v>123701.26999999995</v>
      </c>
      <c r="C60" s="7">
        <f t="shared" si="8"/>
        <v>7315.72</v>
      </c>
      <c r="D60" s="7">
        <f t="shared" si="9"/>
        <v>6491.04</v>
      </c>
      <c r="E60" s="7">
        <f t="shared" si="10"/>
        <v>824.68</v>
      </c>
      <c r="F60" s="7">
        <f t="shared" si="13"/>
        <v>243589.77</v>
      </c>
      <c r="G60" s="53">
        <f t="shared" si="14"/>
        <v>70986.19</v>
      </c>
      <c r="H60" s="7">
        <f t="shared" si="11"/>
        <v>117210.22999999995</v>
      </c>
    </row>
    <row r="61" spans="1:8" x14ac:dyDescent="0.3">
      <c r="A61" s="54">
        <v>44</v>
      </c>
      <c r="B61" s="7">
        <f t="shared" si="12"/>
        <v>117210.22999999995</v>
      </c>
      <c r="C61" s="7">
        <f t="shared" si="8"/>
        <v>7315.72</v>
      </c>
      <c r="D61" s="7">
        <f t="shared" si="9"/>
        <v>6534.3200000000006</v>
      </c>
      <c r="E61" s="7">
        <f t="shared" si="10"/>
        <v>781.4</v>
      </c>
      <c r="F61" s="7">
        <f t="shared" si="13"/>
        <v>250124.09</v>
      </c>
      <c r="G61" s="53">
        <f t="shared" si="14"/>
        <v>71767.59</v>
      </c>
      <c r="H61" s="7">
        <f t="shared" si="11"/>
        <v>110675.90999999995</v>
      </c>
    </row>
    <row r="62" spans="1:8" x14ac:dyDescent="0.3">
      <c r="A62" s="54">
        <v>45</v>
      </c>
      <c r="B62" s="7">
        <f t="shared" si="12"/>
        <v>110675.90999999995</v>
      </c>
      <c r="C62" s="7">
        <f t="shared" si="8"/>
        <v>7315.72</v>
      </c>
      <c r="D62" s="7">
        <f t="shared" si="9"/>
        <v>6577.88</v>
      </c>
      <c r="E62" s="7">
        <f t="shared" si="10"/>
        <v>737.84</v>
      </c>
      <c r="F62" s="7">
        <f t="shared" si="13"/>
        <v>256701.97</v>
      </c>
      <c r="G62" s="53">
        <f t="shared" si="14"/>
        <v>72505.429999999993</v>
      </c>
      <c r="H62" s="7">
        <f t="shared" si="11"/>
        <v>104098.02999999994</v>
      </c>
    </row>
    <row r="63" spans="1:8" x14ac:dyDescent="0.3">
      <c r="A63" s="54">
        <v>46</v>
      </c>
      <c r="B63" s="7">
        <f t="shared" si="12"/>
        <v>104098.02999999994</v>
      </c>
      <c r="C63" s="7">
        <f t="shared" si="8"/>
        <v>7315.72</v>
      </c>
      <c r="D63" s="7">
        <f t="shared" si="9"/>
        <v>6621.7300000000005</v>
      </c>
      <c r="E63" s="7">
        <f t="shared" si="10"/>
        <v>693.99</v>
      </c>
      <c r="F63" s="7">
        <f t="shared" si="13"/>
        <v>263323.7</v>
      </c>
      <c r="G63" s="53">
        <f t="shared" si="14"/>
        <v>73199.42</v>
      </c>
      <c r="H63" s="7">
        <f t="shared" si="11"/>
        <v>97476.299999999945</v>
      </c>
    </row>
    <row r="64" spans="1:8" x14ac:dyDescent="0.3">
      <c r="A64" s="54">
        <v>47</v>
      </c>
      <c r="B64" s="7">
        <f t="shared" si="12"/>
        <v>97476.299999999945</v>
      </c>
      <c r="C64" s="7">
        <f t="shared" si="8"/>
        <v>7315.72</v>
      </c>
      <c r="D64" s="7">
        <f t="shared" si="9"/>
        <v>6665.88</v>
      </c>
      <c r="E64" s="7">
        <f t="shared" si="10"/>
        <v>649.84</v>
      </c>
      <c r="F64" s="7">
        <f t="shared" si="13"/>
        <v>269989.58</v>
      </c>
      <c r="G64" s="53">
        <f t="shared" si="14"/>
        <v>73849.259999999995</v>
      </c>
      <c r="H64" s="7">
        <f t="shared" si="11"/>
        <v>90810.41999999994</v>
      </c>
    </row>
    <row r="65" spans="1:8" x14ac:dyDescent="0.3">
      <c r="A65" s="54">
        <v>48</v>
      </c>
      <c r="B65" s="7">
        <f t="shared" si="12"/>
        <v>90810.41999999994</v>
      </c>
      <c r="C65" s="7">
        <f t="shared" si="8"/>
        <v>7315.72</v>
      </c>
      <c r="D65" s="7">
        <f t="shared" si="9"/>
        <v>6710.3200000000006</v>
      </c>
      <c r="E65" s="7">
        <f t="shared" si="10"/>
        <v>605.4</v>
      </c>
      <c r="F65" s="7">
        <f t="shared" si="13"/>
        <v>276699.90000000002</v>
      </c>
      <c r="G65" s="53">
        <f t="shared" si="14"/>
        <v>74454.659999999989</v>
      </c>
      <c r="H65" s="7">
        <f t="shared" si="11"/>
        <v>84100.099999999933</v>
      </c>
    </row>
    <row r="66" spans="1:8" x14ac:dyDescent="0.3">
      <c r="A66" s="54">
        <v>49</v>
      </c>
      <c r="B66" s="7">
        <f t="shared" si="12"/>
        <v>84100.099999999933</v>
      </c>
      <c r="C66" s="7">
        <f t="shared" si="8"/>
        <v>7315.72</v>
      </c>
      <c r="D66" s="7">
        <f t="shared" si="9"/>
        <v>6755.05</v>
      </c>
      <c r="E66" s="7">
        <f t="shared" si="10"/>
        <v>560.66999999999996</v>
      </c>
      <c r="F66" s="7">
        <f t="shared" si="13"/>
        <v>283454.95</v>
      </c>
      <c r="G66" s="53">
        <f t="shared" si="14"/>
        <v>75015.329999999987</v>
      </c>
      <c r="H66" s="7">
        <f t="shared" si="11"/>
        <v>77345.04999999993</v>
      </c>
    </row>
    <row r="67" spans="1:8" x14ac:dyDescent="0.3">
      <c r="A67" s="54">
        <v>50</v>
      </c>
      <c r="B67" s="7">
        <f t="shared" si="12"/>
        <v>77345.04999999993</v>
      </c>
      <c r="C67" s="7">
        <f t="shared" si="8"/>
        <v>7315.72</v>
      </c>
      <c r="D67" s="7">
        <f t="shared" si="9"/>
        <v>6800.09</v>
      </c>
      <c r="E67" s="7">
        <f t="shared" si="10"/>
        <v>515.63</v>
      </c>
      <c r="F67" s="7">
        <f t="shared" si="13"/>
        <v>290255.04000000004</v>
      </c>
      <c r="G67" s="53">
        <f t="shared" si="14"/>
        <v>75530.959999999992</v>
      </c>
      <c r="H67" s="7">
        <f t="shared" si="11"/>
        <v>70544.959999999934</v>
      </c>
    </row>
    <row r="68" spans="1:8" x14ac:dyDescent="0.3">
      <c r="A68" s="54">
        <v>51</v>
      </c>
      <c r="B68" s="7">
        <f t="shared" si="12"/>
        <v>70544.959999999934</v>
      </c>
      <c r="C68" s="7">
        <f t="shared" si="8"/>
        <v>7315.72</v>
      </c>
      <c r="D68" s="7">
        <f t="shared" si="9"/>
        <v>6845.42</v>
      </c>
      <c r="E68" s="7">
        <f t="shared" si="10"/>
        <v>470.3</v>
      </c>
      <c r="F68" s="7">
        <f t="shared" si="13"/>
        <v>297100.46000000002</v>
      </c>
      <c r="G68" s="53">
        <f t="shared" si="14"/>
        <v>76001.259999999995</v>
      </c>
      <c r="H68" s="7">
        <f t="shared" si="11"/>
        <v>63699.539999999935</v>
      </c>
    </row>
    <row r="69" spans="1:8" x14ac:dyDescent="0.3">
      <c r="A69" s="54">
        <v>52</v>
      </c>
      <c r="B69" s="7">
        <f t="shared" si="12"/>
        <v>63699.539999999935</v>
      </c>
      <c r="C69" s="7">
        <f t="shared" si="8"/>
        <v>7315.72</v>
      </c>
      <c r="D69" s="7">
        <f t="shared" si="9"/>
        <v>6891.06</v>
      </c>
      <c r="E69" s="7">
        <f t="shared" si="10"/>
        <v>424.66</v>
      </c>
      <c r="F69" s="7">
        <f t="shared" si="13"/>
        <v>303991.52</v>
      </c>
      <c r="G69" s="53">
        <f t="shared" si="14"/>
        <v>76425.919999999998</v>
      </c>
      <c r="H69" s="7">
        <f t="shared" si="11"/>
        <v>56808.479999999938</v>
      </c>
    </row>
    <row r="70" spans="1:8" x14ac:dyDescent="0.3">
      <c r="A70" s="54">
        <v>53</v>
      </c>
      <c r="B70" s="7">
        <f t="shared" si="12"/>
        <v>56808.479999999938</v>
      </c>
      <c r="C70" s="7">
        <f t="shared" si="8"/>
        <v>7315.72</v>
      </c>
      <c r="D70" s="7">
        <f t="shared" si="9"/>
        <v>6937</v>
      </c>
      <c r="E70" s="7">
        <f t="shared" si="10"/>
        <v>378.72</v>
      </c>
      <c r="F70" s="7">
        <f t="shared" si="13"/>
        <v>310928.52</v>
      </c>
      <c r="G70" s="53">
        <f t="shared" si="14"/>
        <v>76804.639999999999</v>
      </c>
      <c r="H70" s="7">
        <f t="shared" si="11"/>
        <v>49871.479999999938</v>
      </c>
    </row>
    <row r="71" spans="1:8" x14ac:dyDescent="0.3">
      <c r="A71" s="54">
        <v>54</v>
      </c>
      <c r="B71" s="7">
        <f t="shared" si="12"/>
        <v>49871.479999999938</v>
      </c>
      <c r="C71" s="7">
        <f t="shared" si="8"/>
        <v>7315.72</v>
      </c>
      <c r="D71" s="7">
        <f t="shared" si="9"/>
        <v>6983.24</v>
      </c>
      <c r="E71" s="7">
        <f t="shared" si="10"/>
        <v>332.48</v>
      </c>
      <c r="F71" s="7">
        <f t="shared" si="13"/>
        <v>317911.76</v>
      </c>
      <c r="G71" s="53">
        <f t="shared" si="14"/>
        <v>77137.119999999995</v>
      </c>
      <c r="H71" s="7">
        <f t="shared" si="11"/>
        <v>42888.23999999994</v>
      </c>
    </row>
    <row r="72" spans="1:8" x14ac:dyDescent="0.3">
      <c r="A72" s="54">
        <v>55</v>
      </c>
      <c r="B72" s="7">
        <f t="shared" si="12"/>
        <v>42888.23999999994</v>
      </c>
      <c r="C72" s="7">
        <f t="shared" si="8"/>
        <v>7315.72</v>
      </c>
      <c r="D72" s="7">
        <f t="shared" si="9"/>
        <v>7029.8</v>
      </c>
      <c r="E72" s="7">
        <f t="shared" si="10"/>
        <v>285.92</v>
      </c>
      <c r="F72" s="7">
        <f t="shared" si="13"/>
        <v>324941.56</v>
      </c>
      <c r="G72" s="53">
        <f t="shared" si="14"/>
        <v>77423.039999999994</v>
      </c>
      <c r="H72" s="7">
        <f t="shared" si="11"/>
        <v>35858.439999999937</v>
      </c>
    </row>
    <row r="73" spans="1:8" x14ac:dyDescent="0.3">
      <c r="A73" s="54">
        <v>56</v>
      </c>
      <c r="B73" s="7">
        <f t="shared" si="12"/>
        <v>35858.439999999937</v>
      </c>
      <c r="C73" s="7">
        <f t="shared" si="8"/>
        <v>7315.72</v>
      </c>
      <c r="D73" s="7">
        <f t="shared" si="9"/>
        <v>7076.66</v>
      </c>
      <c r="E73" s="7">
        <f t="shared" si="10"/>
        <v>239.06</v>
      </c>
      <c r="F73" s="7">
        <f t="shared" si="13"/>
        <v>332018.21999999997</v>
      </c>
      <c r="G73" s="53">
        <f t="shared" si="14"/>
        <v>77662.099999999991</v>
      </c>
      <c r="H73" s="7">
        <f t="shared" si="11"/>
        <v>28781.779999999937</v>
      </c>
    </row>
    <row r="74" spans="1:8" x14ac:dyDescent="0.3">
      <c r="A74" s="54">
        <v>57</v>
      </c>
      <c r="B74" s="7">
        <f t="shared" si="12"/>
        <v>28781.779999999937</v>
      </c>
      <c r="C74" s="7">
        <f t="shared" si="8"/>
        <v>7315.72</v>
      </c>
      <c r="D74" s="7">
        <f t="shared" si="9"/>
        <v>7123.84</v>
      </c>
      <c r="E74" s="7">
        <f t="shared" si="10"/>
        <v>191.88</v>
      </c>
      <c r="F74" s="7">
        <f t="shared" si="13"/>
        <v>339142.06</v>
      </c>
      <c r="G74" s="53">
        <f t="shared" si="14"/>
        <v>77853.98</v>
      </c>
      <c r="H74" s="7">
        <f t="shared" si="11"/>
        <v>21657.939999999937</v>
      </c>
    </row>
    <row r="75" spans="1:8" x14ac:dyDescent="0.3">
      <c r="A75" s="54">
        <v>58</v>
      </c>
      <c r="B75" s="7">
        <f t="shared" si="12"/>
        <v>21657.939999999937</v>
      </c>
      <c r="C75" s="7">
        <f t="shared" si="8"/>
        <v>7315.72</v>
      </c>
      <c r="D75" s="7">
        <f t="shared" si="9"/>
        <v>7171.33</v>
      </c>
      <c r="E75" s="7">
        <f t="shared" si="10"/>
        <v>144.38999999999999</v>
      </c>
      <c r="F75" s="7">
        <f t="shared" si="13"/>
        <v>346313.39</v>
      </c>
      <c r="G75" s="53">
        <f t="shared" si="14"/>
        <v>77998.37</v>
      </c>
      <c r="H75" s="7">
        <f t="shared" si="11"/>
        <v>14486.609999999937</v>
      </c>
    </row>
    <row r="76" spans="1:8" x14ac:dyDescent="0.3">
      <c r="A76" s="54">
        <v>59</v>
      </c>
      <c r="B76" s="7">
        <f t="shared" si="12"/>
        <v>14486.609999999937</v>
      </c>
      <c r="C76" s="7">
        <f t="shared" si="8"/>
        <v>7315.72</v>
      </c>
      <c r="D76" s="7">
        <f t="shared" si="9"/>
        <v>7219.14</v>
      </c>
      <c r="E76" s="7">
        <f t="shared" si="10"/>
        <v>96.58</v>
      </c>
      <c r="F76" s="7">
        <f t="shared" si="13"/>
        <v>353532.53</v>
      </c>
      <c r="G76" s="53">
        <f t="shared" si="14"/>
        <v>78094.95</v>
      </c>
      <c r="H76" s="7">
        <f t="shared" si="11"/>
        <v>7267.4699999999366</v>
      </c>
    </row>
    <row r="77" spans="1:8" x14ac:dyDescent="0.3">
      <c r="A77" s="54">
        <v>60</v>
      </c>
      <c r="B77" s="7">
        <f t="shared" si="12"/>
        <v>7267.4699999999366</v>
      </c>
      <c r="C77" s="7">
        <f t="shared" si="8"/>
        <v>7315.72</v>
      </c>
      <c r="D77" s="7">
        <f t="shared" si="9"/>
        <v>7267.27</v>
      </c>
      <c r="E77" s="7">
        <f t="shared" si="10"/>
        <v>48.45</v>
      </c>
      <c r="F77" s="7">
        <f t="shared" si="13"/>
        <v>360799.80000000005</v>
      </c>
      <c r="G77" s="53">
        <f t="shared" si="14"/>
        <v>78143.399999999994</v>
      </c>
      <c r="H77" s="7">
        <f t="shared" si="11"/>
        <v>0.19999999993615347</v>
      </c>
    </row>
    <row r="78" spans="1:8" x14ac:dyDescent="0.3">
      <c r="A78" s="54">
        <v>61</v>
      </c>
      <c r="B78" s="7">
        <f t="shared" ref="B78" si="15">H77</f>
        <v>0.19999999993615347</v>
      </c>
      <c r="C78" s="7">
        <f t="shared" si="8"/>
        <v>7315.72</v>
      </c>
      <c r="D78" s="7">
        <f t="shared" si="9"/>
        <v>7315.72</v>
      </c>
      <c r="E78" s="7">
        <f t="shared" si="10"/>
        <v>0</v>
      </c>
      <c r="F78" s="7">
        <f t="shared" ref="F78" si="16">F77+D78</f>
        <v>368115.52</v>
      </c>
      <c r="G78" s="53">
        <f t="shared" si="14"/>
        <v>78143.399999999994</v>
      </c>
      <c r="H78" s="7">
        <f t="shared" si="11"/>
        <v>-7315.5200000000641</v>
      </c>
    </row>
    <row r="79" spans="1:8" x14ac:dyDescent="0.3">
      <c r="A79" s="54"/>
      <c r="B79" s="7"/>
      <c r="C79" s="7"/>
      <c r="D79" s="7"/>
      <c r="E79" s="7"/>
      <c r="F79" s="7"/>
      <c r="G79" s="53"/>
      <c r="H79" s="7"/>
    </row>
    <row r="80" spans="1:8" x14ac:dyDescent="0.3">
      <c r="A80" s="54"/>
      <c r="B80" s="7"/>
      <c r="C80" s="7"/>
      <c r="D80" s="7"/>
      <c r="E80" s="7"/>
      <c r="F80" s="7"/>
      <c r="G80" s="53"/>
      <c r="H80" s="7"/>
    </row>
    <row r="81" spans="1:8" x14ac:dyDescent="0.3">
      <c r="A81" s="54"/>
      <c r="B81" s="7"/>
      <c r="C81" s="7"/>
      <c r="D81" s="7"/>
      <c r="E81" s="7"/>
      <c r="F81" s="7"/>
      <c r="G81" s="53"/>
      <c r="H81" s="7"/>
    </row>
    <row r="82" spans="1:8" x14ac:dyDescent="0.3">
      <c r="A82" s="54"/>
      <c r="B82" s="7"/>
      <c r="C82" s="7"/>
      <c r="D82" s="7"/>
      <c r="E82" s="7"/>
      <c r="F82" s="7"/>
      <c r="G82" s="53"/>
      <c r="H82" s="7"/>
    </row>
    <row r="83" spans="1:8" x14ac:dyDescent="0.3">
      <c r="A83" s="54"/>
      <c r="B83" s="7"/>
      <c r="C83" s="7"/>
      <c r="D83" s="7"/>
      <c r="E83" s="7"/>
      <c r="F83" s="7"/>
      <c r="G83" s="53"/>
      <c r="H83" s="7"/>
    </row>
    <row r="84" spans="1:8" x14ac:dyDescent="0.3">
      <c r="A84" s="54"/>
      <c r="B84" s="7"/>
      <c r="C84" s="7"/>
      <c r="D84" s="7"/>
      <c r="E84" s="7"/>
      <c r="F84" s="7"/>
      <c r="G84" s="53"/>
      <c r="H84" s="7"/>
    </row>
    <row r="85" spans="1:8" x14ac:dyDescent="0.3">
      <c r="A85" s="54"/>
      <c r="B85" s="7"/>
      <c r="C85" s="7"/>
      <c r="D85" s="7"/>
      <c r="E85" s="7"/>
      <c r="F85" s="7"/>
      <c r="G85" s="53"/>
      <c r="H85" s="7"/>
    </row>
    <row r="86" spans="1:8" x14ac:dyDescent="0.3">
      <c r="A86" s="54"/>
      <c r="B86" s="7"/>
      <c r="C86" s="7"/>
      <c r="D86" s="7"/>
      <c r="E86" s="7"/>
      <c r="F86" s="7"/>
      <c r="G86" s="53"/>
      <c r="H86" s="7"/>
    </row>
    <row r="87" spans="1:8" x14ac:dyDescent="0.3">
      <c r="A87" s="54"/>
      <c r="B87" s="7"/>
      <c r="C87" s="7"/>
      <c r="D87" s="7"/>
      <c r="E87" s="7"/>
      <c r="F87" s="7"/>
      <c r="G87" s="53"/>
      <c r="H87" s="7"/>
    </row>
    <row r="88" spans="1:8" x14ac:dyDescent="0.3">
      <c r="A88" s="54"/>
      <c r="B88" s="7"/>
      <c r="C88" s="7"/>
      <c r="D88" s="7"/>
      <c r="E88" s="7"/>
      <c r="F88" s="7"/>
      <c r="G88" s="53"/>
      <c r="H88" s="7"/>
    </row>
    <row r="89" spans="1:8" x14ac:dyDescent="0.3">
      <c r="A89" s="54"/>
      <c r="B89" s="7"/>
      <c r="C89" s="7"/>
      <c r="D89" s="7"/>
      <c r="E89" s="7"/>
      <c r="F89" s="7"/>
      <c r="G89" s="53"/>
      <c r="H89" s="7"/>
    </row>
    <row r="90" spans="1:8" x14ac:dyDescent="0.3">
      <c r="A90" s="54"/>
      <c r="B90" s="7"/>
      <c r="C90" s="7"/>
      <c r="D90" s="7"/>
      <c r="E90" s="7"/>
      <c r="F90" s="7"/>
      <c r="G90" s="53"/>
      <c r="H90" s="7"/>
    </row>
    <row r="91" spans="1:8" x14ac:dyDescent="0.3">
      <c r="A91" s="54"/>
      <c r="B91" s="7"/>
      <c r="C91" s="7"/>
      <c r="D91" s="7"/>
      <c r="E91" s="7"/>
      <c r="F91" s="7"/>
      <c r="G91" s="53"/>
      <c r="H91" s="7"/>
    </row>
    <row r="92" spans="1:8" x14ac:dyDescent="0.3">
      <c r="A92" s="54"/>
      <c r="B92" s="7"/>
      <c r="C92" s="7"/>
      <c r="D92" s="7"/>
      <c r="E92" s="7"/>
      <c r="F92" s="7"/>
      <c r="G92" s="53"/>
      <c r="H92" s="7"/>
    </row>
    <row r="93" spans="1:8" x14ac:dyDescent="0.3">
      <c r="A93" s="54"/>
      <c r="B93" s="7"/>
      <c r="C93" s="7"/>
      <c r="D93" s="7"/>
      <c r="E93" s="7"/>
      <c r="F93" s="7"/>
      <c r="G93" s="53"/>
      <c r="H93" s="7"/>
    </row>
    <row r="94" spans="1:8" x14ac:dyDescent="0.3">
      <c r="A94" s="54"/>
      <c r="B94" s="7"/>
      <c r="C94" s="7"/>
      <c r="D94" s="7"/>
      <c r="E94" s="7"/>
      <c r="F94" s="7"/>
      <c r="G94" s="53"/>
      <c r="H94" s="7"/>
    </row>
    <row r="95" spans="1:8" x14ac:dyDescent="0.3">
      <c r="A95" s="54"/>
      <c r="B95" s="7"/>
      <c r="C95" s="7"/>
      <c r="D95" s="7"/>
      <c r="E95" s="7"/>
      <c r="F95" s="7"/>
      <c r="G95" s="53"/>
      <c r="H95" s="7"/>
    </row>
    <row r="96" spans="1:8" x14ac:dyDescent="0.3">
      <c r="A96" s="54"/>
      <c r="B96" s="7"/>
      <c r="C96" s="7"/>
      <c r="D96" s="7"/>
      <c r="E96" s="7"/>
      <c r="F96" s="7"/>
      <c r="G96" s="53"/>
      <c r="H96" s="7"/>
    </row>
    <row r="97" spans="1:8" x14ac:dyDescent="0.3">
      <c r="A97" s="54"/>
      <c r="B97" s="7"/>
      <c r="C97" s="7"/>
      <c r="D97" s="7"/>
      <c r="E97" s="7"/>
      <c r="F97" s="7"/>
      <c r="G97" s="53"/>
      <c r="H97" s="7"/>
    </row>
    <row r="98" spans="1:8" x14ac:dyDescent="0.3">
      <c r="A98" s="54"/>
      <c r="B98" s="7"/>
      <c r="C98" s="7"/>
      <c r="D98" s="7"/>
      <c r="E98" s="7"/>
      <c r="F98" s="7"/>
      <c r="G98" s="53"/>
      <c r="H98" s="7"/>
    </row>
    <row r="99" spans="1:8" x14ac:dyDescent="0.3">
      <c r="A99" s="54"/>
      <c r="B99" s="7"/>
      <c r="C99" s="7"/>
      <c r="D99" s="7"/>
      <c r="E99" s="7"/>
      <c r="F99" s="7"/>
      <c r="G99" s="53"/>
      <c r="H99" s="7"/>
    </row>
    <row r="100" spans="1:8" x14ac:dyDescent="0.3">
      <c r="A100" s="54"/>
      <c r="B100" s="7"/>
      <c r="C100" s="7"/>
      <c r="D100" s="7"/>
      <c r="E100" s="7"/>
      <c r="F100" s="7"/>
      <c r="G100" s="53"/>
      <c r="H100" s="7"/>
    </row>
    <row r="101" spans="1:8" x14ac:dyDescent="0.3">
      <c r="A101" s="54"/>
      <c r="B101" s="7"/>
      <c r="C101" s="7"/>
      <c r="D101" s="7"/>
      <c r="E101" s="7"/>
      <c r="F101" s="7"/>
      <c r="G101" s="53"/>
      <c r="H101" s="7"/>
    </row>
    <row r="102" spans="1:8" x14ac:dyDescent="0.3">
      <c r="A102" s="54"/>
      <c r="B102" s="7"/>
      <c r="C102" s="7"/>
      <c r="D102" s="7"/>
      <c r="E102" s="7"/>
      <c r="F102" s="7"/>
      <c r="G102" s="53"/>
      <c r="H102" s="7"/>
    </row>
    <row r="103" spans="1:8" x14ac:dyDescent="0.3">
      <c r="A103" s="54"/>
      <c r="B103" s="7"/>
      <c r="C103" s="7"/>
      <c r="D103" s="7"/>
      <c r="E103" s="7"/>
      <c r="F103" s="7"/>
      <c r="G103" s="53"/>
      <c r="H103" s="7"/>
    </row>
    <row r="104" spans="1:8" x14ac:dyDescent="0.3">
      <c r="A104" s="54"/>
      <c r="B104" s="7"/>
      <c r="C104" s="7"/>
      <c r="D104" s="7"/>
      <c r="E104" s="7"/>
      <c r="F104" s="7"/>
      <c r="G104" s="53"/>
      <c r="H104" s="7"/>
    </row>
    <row r="105" spans="1:8" x14ac:dyDescent="0.3">
      <c r="A105" s="54"/>
      <c r="B105" s="7"/>
      <c r="C105" s="7"/>
      <c r="D105" s="7"/>
      <c r="E105" s="7"/>
      <c r="F105" s="7"/>
      <c r="G105" s="53"/>
      <c r="H105" s="7"/>
    </row>
    <row r="106" spans="1:8" x14ac:dyDescent="0.3">
      <c r="A106" s="54"/>
      <c r="B106" s="7"/>
      <c r="C106" s="7"/>
      <c r="D106" s="7"/>
      <c r="E106" s="7"/>
      <c r="F106" s="7"/>
      <c r="G106" s="53"/>
      <c r="H106" s="7"/>
    </row>
    <row r="107" spans="1:8" x14ac:dyDescent="0.3">
      <c r="A107" s="54"/>
      <c r="B107" s="7"/>
      <c r="C107" s="7"/>
      <c r="D107" s="7"/>
      <c r="E107" s="7"/>
      <c r="F107" s="7"/>
      <c r="G107" s="53"/>
      <c r="H107" s="7"/>
    </row>
    <row r="108" spans="1:8" x14ac:dyDescent="0.3">
      <c r="A108" s="54"/>
      <c r="B108" s="7"/>
      <c r="C108" s="7"/>
      <c r="D108" s="7"/>
      <c r="E108" s="7"/>
      <c r="F108" s="7"/>
      <c r="G108" s="53"/>
      <c r="H108" s="7"/>
    </row>
    <row r="109" spans="1:8" x14ac:dyDescent="0.3">
      <c r="A109" s="54"/>
      <c r="B109" s="7"/>
      <c r="C109" s="7"/>
      <c r="D109" s="7"/>
      <c r="E109" s="7"/>
      <c r="F109" s="7"/>
      <c r="G109" s="53"/>
      <c r="H109" s="7"/>
    </row>
    <row r="110" spans="1:8" x14ac:dyDescent="0.3">
      <c r="A110" s="54"/>
      <c r="B110" s="7"/>
      <c r="C110" s="7"/>
      <c r="D110" s="7"/>
      <c r="E110" s="7"/>
      <c r="F110" s="7"/>
      <c r="G110" s="53"/>
      <c r="H110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7873B-DB43-469F-AB17-62ED568AAB55}">
  <dimension ref="A1:G28"/>
  <sheetViews>
    <sheetView workbookViewId="0">
      <selection activeCell="E12" sqref="E12"/>
    </sheetView>
  </sheetViews>
  <sheetFormatPr defaultRowHeight="15" customHeight="1" x14ac:dyDescent="0.3"/>
  <cols>
    <col min="1" max="1" width="21.109375" customWidth="1"/>
    <col min="2" max="3" width="28.5546875" customWidth="1"/>
    <col min="4" max="4" width="28.5546875" style="91" customWidth="1"/>
    <col min="5" max="5" width="16.6640625" customWidth="1"/>
  </cols>
  <sheetData>
    <row r="1" spans="1:5" ht="14.4" x14ac:dyDescent="0.3">
      <c r="A1" s="84" t="s">
        <v>253</v>
      </c>
      <c r="B1" s="84" t="s">
        <v>254</v>
      </c>
      <c r="C1" s="84" t="s">
        <v>255</v>
      </c>
      <c r="D1" s="90" t="s">
        <v>256</v>
      </c>
      <c r="E1" s="1" t="s">
        <v>257</v>
      </c>
    </row>
    <row r="2" spans="1:5" ht="14.4" x14ac:dyDescent="0.3">
      <c r="A2" s="81">
        <v>0</v>
      </c>
      <c r="B2" s="82">
        <v>4000000</v>
      </c>
      <c r="C2" s="82">
        <v>0</v>
      </c>
      <c r="D2" s="91">
        <f t="shared" ref="D2:D12" si="0">B2*$B$14</f>
        <v>400000</v>
      </c>
      <c r="E2" s="83">
        <f>SUM(B2:D2)</f>
        <v>4400000</v>
      </c>
    </row>
    <row r="3" spans="1:5" ht="14.4" x14ac:dyDescent="0.3">
      <c r="A3" s="81">
        <v>1</v>
      </c>
      <c r="B3" s="82">
        <f>E2</f>
        <v>4400000</v>
      </c>
      <c r="C3" s="82">
        <f t="shared" ref="C3:C12" si="1">B2*$B$15</f>
        <v>200000</v>
      </c>
      <c r="D3" s="91">
        <f t="shared" si="0"/>
        <v>440000</v>
      </c>
      <c r="E3" s="83">
        <f t="shared" ref="E3:E12" si="2">SUM(B3:D3)</f>
        <v>5040000</v>
      </c>
    </row>
    <row r="4" spans="1:5" ht="14.4" x14ac:dyDescent="0.3">
      <c r="A4" s="81">
        <v>2</v>
      </c>
      <c r="B4" s="82">
        <f t="shared" ref="B4:B12" si="3">E3</f>
        <v>5040000</v>
      </c>
      <c r="C4" s="82">
        <f t="shared" si="1"/>
        <v>220000</v>
      </c>
      <c r="D4" s="91">
        <f t="shared" si="0"/>
        <v>504000</v>
      </c>
      <c r="E4" s="83">
        <f t="shared" si="2"/>
        <v>5764000</v>
      </c>
    </row>
    <row r="5" spans="1:5" ht="14.4" x14ac:dyDescent="0.3">
      <c r="A5" s="81">
        <v>3</v>
      </c>
      <c r="B5" s="82">
        <f t="shared" si="3"/>
        <v>5764000</v>
      </c>
      <c r="C5" s="82">
        <f t="shared" si="1"/>
        <v>252000</v>
      </c>
      <c r="D5" s="91">
        <f t="shared" si="0"/>
        <v>576400</v>
      </c>
      <c r="E5" s="83">
        <f t="shared" si="2"/>
        <v>6592400</v>
      </c>
    </row>
    <row r="6" spans="1:5" ht="14.4" x14ac:dyDescent="0.3">
      <c r="A6" s="81">
        <v>4</v>
      </c>
      <c r="B6" s="82">
        <f t="shared" si="3"/>
        <v>6592400</v>
      </c>
      <c r="C6" s="82">
        <f t="shared" si="1"/>
        <v>288200</v>
      </c>
      <c r="D6" s="91">
        <f t="shared" si="0"/>
        <v>659240</v>
      </c>
      <c r="E6" s="83">
        <f t="shared" si="2"/>
        <v>7539840</v>
      </c>
    </row>
    <row r="7" spans="1:5" ht="14.4" x14ac:dyDescent="0.3">
      <c r="A7" s="81">
        <v>5</v>
      </c>
      <c r="B7" s="82">
        <f t="shared" si="3"/>
        <v>7539840</v>
      </c>
      <c r="C7" s="82">
        <f t="shared" si="1"/>
        <v>329620</v>
      </c>
      <c r="D7" s="91">
        <f t="shared" si="0"/>
        <v>753984</v>
      </c>
      <c r="E7" s="83">
        <f t="shared" si="2"/>
        <v>8623444</v>
      </c>
    </row>
    <row r="8" spans="1:5" ht="14.4" x14ac:dyDescent="0.3">
      <c r="A8" s="81">
        <v>6</v>
      </c>
      <c r="B8" s="82">
        <f t="shared" si="3"/>
        <v>8623444</v>
      </c>
      <c r="C8" s="82">
        <f t="shared" si="1"/>
        <v>376992</v>
      </c>
      <c r="D8" s="91">
        <f t="shared" si="0"/>
        <v>862344.4</v>
      </c>
      <c r="E8" s="83">
        <f t="shared" si="2"/>
        <v>9862780.4000000004</v>
      </c>
    </row>
    <row r="9" spans="1:5" ht="14.4" x14ac:dyDescent="0.3">
      <c r="A9" s="81">
        <v>7</v>
      </c>
      <c r="B9" s="82">
        <f t="shared" si="3"/>
        <v>9862780.4000000004</v>
      </c>
      <c r="C9" s="82">
        <f t="shared" si="1"/>
        <v>431172.2</v>
      </c>
      <c r="D9" s="91">
        <f t="shared" si="0"/>
        <v>986278.04</v>
      </c>
      <c r="E9" s="83">
        <f t="shared" si="2"/>
        <v>11280230.640000001</v>
      </c>
    </row>
    <row r="10" spans="1:5" ht="14.4" x14ac:dyDescent="0.3">
      <c r="A10" s="81">
        <v>8</v>
      </c>
      <c r="B10" s="82">
        <f t="shared" si="3"/>
        <v>11280230.640000001</v>
      </c>
      <c r="C10" s="82">
        <f t="shared" si="1"/>
        <v>493139.02</v>
      </c>
      <c r="D10" s="91">
        <f t="shared" si="0"/>
        <v>1128023.064</v>
      </c>
      <c r="E10" s="83">
        <f t="shared" si="2"/>
        <v>12901392.723999999</v>
      </c>
    </row>
    <row r="11" spans="1:5" ht="14.4" x14ac:dyDescent="0.3">
      <c r="A11" s="81">
        <v>9</v>
      </c>
      <c r="B11" s="82">
        <f t="shared" si="3"/>
        <v>12901392.723999999</v>
      </c>
      <c r="C11" s="82">
        <f t="shared" si="1"/>
        <v>564011.53200000001</v>
      </c>
      <c r="D11" s="91">
        <f t="shared" si="0"/>
        <v>1290139.2724000001</v>
      </c>
      <c r="E11" s="83">
        <f t="shared" si="2"/>
        <v>14755543.5284</v>
      </c>
    </row>
    <row r="12" spans="1:5" ht="14.4" x14ac:dyDescent="0.3">
      <c r="A12" s="81">
        <v>10</v>
      </c>
      <c r="B12" s="82">
        <f t="shared" si="3"/>
        <v>14755543.5284</v>
      </c>
      <c r="C12" s="82">
        <f t="shared" si="1"/>
        <v>645069.63620000007</v>
      </c>
      <c r="D12" s="91">
        <f t="shared" si="0"/>
        <v>1475554.3528400001</v>
      </c>
      <c r="E12" s="83">
        <f t="shared" si="2"/>
        <v>16876167.517439999</v>
      </c>
    </row>
    <row r="14" spans="1:5" ht="15" customHeight="1" x14ac:dyDescent="0.3">
      <c r="A14" s="1" t="s">
        <v>258</v>
      </c>
      <c r="B14" s="106">
        <v>0.1</v>
      </c>
      <c r="C14" s="106"/>
    </row>
    <row r="15" spans="1:5" ht="15" customHeight="1" x14ac:dyDescent="0.3">
      <c r="A15" s="1" t="s">
        <v>259</v>
      </c>
      <c r="B15" s="107">
        <v>0.05</v>
      </c>
    </row>
    <row r="18" spans="1:7" ht="15" customHeight="1" x14ac:dyDescent="0.3">
      <c r="A18" s="85"/>
      <c r="B18" s="86"/>
      <c r="C18" s="86"/>
      <c r="E18" s="86"/>
      <c r="F18" s="86"/>
      <c r="G18" s="86"/>
    </row>
    <row r="19" spans="1:7" ht="15" customHeight="1" x14ac:dyDescent="0.3">
      <c r="A19" s="85"/>
      <c r="B19" s="86"/>
      <c r="C19" s="86"/>
      <c r="E19" s="86"/>
      <c r="F19" s="86"/>
      <c r="G19" s="86"/>
    </row>
    <row r="20" spans="1:7" ht="15" customHeight="1" x14ac:dyDescent="0.3">
      <c r="A20" s="85"/>
      <c r="B20" s="86"/>
      <c r="C20" s="86"/>
      <c r="E20" s="86"/>
      <c r="F20" s="86"/>
      <c r="G20" s="86"/>
    </row>
    <row r="21" spans="1:7" ht="15" customHeight="1" x14ac:dyDescent="0.3">
      <c r="A21" s="85"/>
      <c r="B21" s="86"/>
      <c r="C21" s="86"/>
      <c r="E21" s="86"/>
      <c r="F21" s="86"/>
      <c r="G21" s="86"/>
    </row>
    <row r="22" spans="1:7" ht="15" customHeight="1" x14ac:dyDescent="0.3">
      <c r="A22" s="85"/>
      <c r="B22" s="86"/>
      <c r="C22" s="86"/>
      <c r="E22" s="86"/>
      <c r="F22" s="86"/>
      <c r="G22" s="86"/>
    </row>
    <row r="23" spans="1:7" ht="15" customHeight="1" x14ac:dyDescent="0.3">
      <c r="A23" s="85"/>
      <c r="B23" s="86"/>
      <c r="C23" s="86"/>
      <c r="E23" s="86"/>
      <c r="F23" s="86"/>
      <c r="G23" s="86"/>
    </row>
    <row r="24" spans="1:7" ht="15" customHeight="1" x14ac:dyDescent="0.3">
      <c r="A24" s="85"/>
      <c r="B24" s="86"/>
      <c r="C24" s="86"/>
      <c r="E24" s="86"/>
      <c r="F24" s="86"/>
      <c r="G24" s="86"/>
    </row>
    <row r="25" spans="1:7" ht="15" customHeight="1" x14ac:dyDescent="0.3">
      <c r="A25" s="85"/>
      <c r="B25" s="86"/>
      <c r="C25" s="86"/>
      <c r="E25" s="86"/>
      <c r="F25" s="86"/>
      <c r="G25" s="86"/>
    </row>
    <row r="26" spans="1:7" ht="15" customHeight="1" x14ac:dyDescent="0.3">
      <c r="A26" s="85"/>
      <c r="B26" s="86"/>
      <c r="C26" s="86"/>
      <c r="E26" s="86"/>
      <c r="F26" s="86"/>
      <c r="G26" s="86"/>
    </row>
    <row r="27" spans="1:7" ht="15" customHeight="1" x14ac:dyDescent="0.3">
      <c r="A27" s="85"/>
      <c r="B27" s="86"/>
      <c r="C27" s="86"/>
      <c r="E27" s="86"/>
      <c r="F27" s="86"/>
      <c r="G27" s="86"/>
    </row>
    <row r="28" spans="1:7" ht="15" customHeight="1" x14ac:dyDescent="0.3">
      <c r="A28" s="85"/>
      <c r="B28" s="86"/>
      <c r="C28" s="86"/>
      <c r="E28" s="86"/>
      <c r="F28" s="86"/>
      <c r="G28" s="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E6223-5875-47AF-8F81-65388F6F1BC3}">
  <dimension ref="A2:X27"/>
  <sheetViews>
    <sheetView zoomScale="70" zoomScaleNormal="70" workbookViewId="0">
      <selection activeCell="D9" sqref="D9"/>
    </sheetView>
  </sheetViews>
  <sheetFormatPr defaultColWidth="8.88671875" defaultRowHeight="14.4" x14ac:dyDescent="0.3"/>
  <cols>
    <col min="1" max="1" width="6.5546875" style="61" customWidth="1"/>
    <col min="2" max="2" width="8.44140625" style="61" customWidth="1"/>
    <col min="3" max="3" width="14.6640625" style="17" customWidth="1"/>
    <col min="4" max="4" width="14.6640625" style="51" customWidth="1"/>
    <col min="5" max="5" width="14.6640625" customWidth="1"/>
    <col min="6" max="6" width="14.6640625" style="51" customWidth="1"/>
    <col min="7" max="7" width="14.6640625" customWidth="1"/>
    <col min="8" max="8" width="14.6640625" style="51" customWidth="1"/>
    <col min="9" max="9" width="14.6640625" customWidth="1"/>
    <col min="10" max="10" width="14.6640625" style="51" customWidth="1"/>
    <col min="11" max="11" width="14.6640625" customWidth="1"/>
    <col min="12" max="12" width="14.6640625" style="51" customWidth="1"/>
    <col min="13" max="13" width="14.6640625" customWidth="1"/>
    <col min="14" max="14" width="14.6640625" style="51" customWidth="1"/>
    <col min="15" max="15" width="14.6640625" customWidth="1"/>
    <col min="16" max="16" width="14.6640625" style="51" customWidth="1"/>
    <col min="17" max="17" width="14.6640625" customWidth="1"/>
    <col min="18" max="18" width="14.6640625" style="51" customWidth="1"/>
    <col min="19" max="19" width="14.6640625" customWidth="1"/>
    <col min="20" max="20" width="14.6640625" style="51" customWidth="1"/>
    <col min="21" max="21" width="14.6640625" customWidth="1"/>
    <col min="22" max="22" width="14.6640625" style="51" customWidth="1"/>
    <col min="23" max="23" width="14.6640625" customWidth="1"/>
    <col min="24" max="24" width="14.6640625" style="51" customWidth="1"/>
  </cols>
  <sheetData>
    <row r="2" spans="1:24" s="60" customFormat="1" ht="14.4" customHeight="1" x14ac:dyDescent="0.3">
      <c r="A2" s="117" t="s">
        <v>253</v>
      </c>
      <c r="B2" s="118"/>
      <c r="C2" s="115">
        <v>0</v>
      </c>
      <c r="D2" s="116"/>
      <c r="E2" s="115">
        <v>1</v>
      </c>
      <c r="F2" s="116"/>
      <c r="G2" s="109">
        <v>2</v>
      </c>
      <c r="H2" s="109"/>
      <c r="I2" s="109">
        <v>3</v>
      </c>
      <c r="J2" s="109"/>
      <c r="K2" s="109">
        <v>4</v>
      </c>
      <c r="L2" s="109"/>
      <c r="M2" s="109">
        <v>5</v>
      </c>
      <c r="N2" s="109"/>
    </row>
    <row r="3" spans="1:24" s="2" customFormat="1" ht="14.4" customHeight="1" x14ac:dyDescent="0.3">
      <c r="A3" s="119" t="s">
        <v>260</v>
      </c>
      <c r="B3" s="120"/>
      <c r="C3" s="101" t="s">
        <v>261</v>
      </c>
      <c r="D3" s="102" t="s">
        <v>262</v>
      </c>
      <c r="E3" s="103" t="s">
        <v>261</v>
      </c>
      <c r="F3" s="102" t="s">
        <v>262</v>
      </c>
      <c r="G3" s="103" t="s">
        <v>261</v>
      </c>
      <c r="H3" s="102" t="s">
        <v>262</v>
      </c>
      <c r="I3" s="103" t="s">
        <v>261</v>
      </c>
      <c r="J3" s="102" t="s">
        <v>262</v>
      </c>
      <c r="K3" s="103" t="s">
        <v>261</v>
      </c>
      <c r="L3" s="102" t="s">
        <v>262</v>
      </c>
      <c r="M3" s="103" t="s">
        <v>261</v>
      </c>
      <c r="N3" s="102" t="s">
        <v>262</v>
      </c>
    </row>
    <row r="4" spans="1:24" x14ac:dyDescent="0.3">
      <c r="C4" s="99"/>
      <c r="E4" s="99"/>
      <c r="G4" s="99"/>
      <c r="I4" s="99"/>
      <c r="K4" s="99"/>
      <c r="M4" s="100"/>
      <c r="N4" s="95"/>
    </row>
    <row r="5" spans="1:24" x14ac:dyDescent="0.3">
      <c r="A5" s="67" t="s">
        <v>263</v>
      </c>
      <c r="B5" s="62" t="s">
        <v>264</v>
      </c>
      <c r="C5" s="57" t="s">
        <v>265</v>
      </c>
      <c r="D5" s="51">
        <v>195000</v>
      </c>
      <c r="E5" s="57" t="s">
        <v>265</v>
      </c>
      <c r="F5" s="51">
        <f>D5+(D5*$A$5)</f>
        <v>204750</v>
      </c>
      <c r="G5" s="57" t="s">
        <v>265</v>
      </c>
      <c r="H5" s="51">
        <f>F5+(F5*$A$5)</f>
        <v>214987.5</v>
      </c>
      <c r="I5" s="57" t="s">
        <v>265</v>
      </c>
      <c r="J5" s="51">
        <f>H5+(H5*$A$5)</f>
        <v>225736.875</v>
      </c>
      <c r="K5" s="57" t="s">
        <v>265</v>
      </c>
      <c r="L5" s="51">
        <f>J5+(J5*$A$5)</f>
        <v>237023.71875</v>
      </c>
      <c r="M5" s="57" t="s">
        <v>265</v>
      </c>
      <c r="N5" s="95">
        <f>L5+(L5*$A$5)</f>
        <v>248874.90468750001</v>
      </c>
    </row>
    <row r="6" spans="1:24" x14ac:dyDescent="0.3">
      <c r="A6" s="67" t="s">
        <v>266</v>
      </c>
      <c r="B6" s="62" t="s">
        <v>267</v>
      </c>
      <c r="C6" s="57" t="s">
        <v>268</v>
      </c>
      <c r="D6" s="51">
        <v>50000</v>
      </c>
      <c r="E6" s="59"/>
      <c r="G6" s="59"/>
      <c r="I6" s="59"/>
      <c r="K6" s="59"/>
      <c r="M6" s="57" t="s">
        <v>268</v>
      </c>
      <c r="N6" s="95">
        <f>D6+(D6*25%)</f>
        <v>62500</v>
      </c>
    </row>
    <row r="7" spans="1:24" ht="28.8" x14ac:dyDescent="0.3">
      <c r="A7" s="67" t="s">
        <v>263</v>
      </c>
      <c r="B7" s="62" t="s">
        <v>264</v>
      </c>
      <c r="C7" s="57" t="s">
        <v>269</v>
      </c>
      <c r="D7" s="51">
        <v>10000</v>
      </c>
      <c r="E7" s="57" t="s">
        <v>269</v>
      </c>
      <c r="F7" s="51">
        <f>D7+(D7*$A$7)</f>
        <v>10500</v>
      </c>
      <c r="G7" s="57" t="s">
        <v>269</v>
      </c>
      <c r="H7" s="51">
        <f>F7+(F7*$A$7)</f>
        <v>11025</v>
      </c>
      <c r="I7" s="57" t="s">
        <v>269</v>
      </c>
      <c r="J7" s="51">
        <f>H7+(H7*$A$7)</f>
        <v>11576.25</v>
      </c>
      <c r="K7" s="57" t="s">
        <v>269</v>
      </c>
      <c r="L7" s="51">
        <f>J7+(J7*$A$7)</f>
        <v>12155.0625</v>
      </c>
      <c r="M7" s="57" t="s">
        <v>269</v>
      </c>
      <c r="N7" s="95">
        <f>L7+(L7*$A$7)</f>
        <v>12762.815624999999</v>
      </c>
    </row>
    <row r="8" spans="1:24" x14ac:dyDescent="0.3">
      <c r="C8" s="57" t="s">
        <v>270</v>
      </c>
      <c r="D8" s="51">
        <f>'P1 Loan'!C7</f>
        <v>87788.64</v>
      </c>
      <c r="E8" s="57" t="s">
        <v>270</v>
      </c>
      <c r="F8" s="51">
        <f>D8+(D8*$A$8)</f>
        <v>87788.64</v>
      </c>
      <c r="G8" s="57" t="s">
        <v>270</v>
      </c>
      <c r="H8" s="51">
        <f>F8+(F8*$A$8)</f>
        <v>87788.64</v>
      </c>
      <c r="I8" s="57" t="s">
        <v>270</v>
      </c>
      <c r="J8" s="51">
        <f>H8+(H8*$A$8)</f>
        <v>87788.64</v>
      </c>
      <c r="K8" s="57" t="s">
        <v>270</v>
      </c>
      <c r="L8" s="51">
        <f>J8+(J8*$A$8)</f>
        <v>87788.64</v>
      </c>
      <c r="M8" s="57"/>
      <c r="N8" s="95"/>
    </row>
    <row r="9" spans="1:24" x14ac:dyDescent="0.3">
      <c r="C9" s="57" t="s">
        <v>271</v>
      </c>
      <c r="D9" s="51">
        <v>145000</v>
      </c>
      <c r="E9" s="57" t="s">
        <v>271</v>
      </c>
      <c r="F9" s="51">
        <f>145000/4</f>
        <v>36250</v>
      </c>
      <c r="G9" s="59"/>
      <c r="I9" s="59"/>
      <c r="K9" s="59"/>
      <c r="M9" s="59"/>
      <c r="N9" s="95"/>
    </row>
    <row r="10" spans="1:24" x14ac:dyDescent="0.3">
      <c r="C10" s="57" t="s">
        <v>41</v>
      </c>
      <c r="D10" s="51">
        <v>25040</v>
      </c>
      <c r="E10" s="59"/>
      <c r="G10" s="59"/>
      <c r="I10" s="59"/>
      <c r="K10" s="59"/>
      <c r="M10" s="59"/>
      <c r="N10" s="95"/>
    </row>
    <row r="11" spans="1:24" x14ac:dyDescent="0.3">
      <c r="C11" s="57"/>
      <c r="E11" s="57"/>
      <c r="G11" s="57"/>
      <c r="I11" s="57"/>
      <c r="K11" s="57"/>
      <c r="M11" s="59"/>
      <c r="N11" s="95"/>
    </row>
    <row r="12" spans="1:24" x14ac:dyDescent="0.3">
      <c r="A12" s="62"/>
      <c r="B12" s="62"/>
      <c r="C12" s="99"/>
      <c r="E12" s="99"/>
      <c r="G12" s="99"/>
      <c r="I12" s="99"/>
      <c r="K12" s="99"/>
      <c r="M12" s="99"/>
      <c r="N12" s="95"/>
    </row>
    <row r="13" spans="1:24" x14ac:dyDescent="0.3">
      <c r="A13" s="96" t="s">
        <v>257</v>
      </c>
      <c r="B13" s="96"/>
      <c r="C13" s="104"/>
      <c r="D13" s="97">
        <f>SUM(D4:D11)</f>
        <v>512828.64</v>
      </c>
      <c r="E13" s="105"/>
      <c r="F13" s="97">
        <f>SUM(F4:F11)</f>
        <v>339288.64</v>
      </c>
      <c r="G13" s="105"/>
      <c r="H13" s="97">
        <f>SUM(H4:H11)</f>
        <v>313801.14</v>
      </c>
      <c r="I13" s="105"/>
      <c r="J13" s="97">
        <f>SUM(J4:J11)</f>
        <v>325101.76500000001</v>
      </c>
      <c r="K13" s="105"/>
      <c r="L13" s="97">
        <f>SUM(L4:L11)</f>
        <v>336967.42125000001</v>
      </c>
      <c r="M13" s="105"/>
      <c r="N13" s="98">
        <f>SUM(N4:N11)</f>
        <v>324137.72031249997</v>
      </c>
      <c r="P13"/>
      <c r="R13"/>
      <c r="T13"/>
      <c r="V13"/>
      <c r="X13"/>
    </row>
    <row r="16" spans="1:24" x14ac:dyDescent="0.3">
      <c r="A16" s="111" t="s">
        <v>253</v>
      </c>
      <c r="B16" s="112"/>
      <c r="C16" s="110">
        <v>6</v>
      </c>
      <c r="D16" s="110"/>
      <c r="E16" s="110">
        <v>7</v>
      </c>
      <c r="F16" s="110"/>
      <c r="G16" s="110">
        <v>8</v>
      </c>
      <c r="H16" s="110"/>
      <c r="I16" s="110">
        <v>9</v>
      </c>
      <c r="J16" s="110"/>
      <c r="K16" s="110">
        <v>10</v>
      </c>
      <c r="L16" s="110"/>
    </row>
    <row r="17" spans="1:12" x14ac:dyDescent="0.3">
      <c r="A17" s="113" t="s">
        <v>260</v>
      </c>
      <c r="B17" s="114"/>
      <c r="C17" s="64" t="s">
        <v>261</v>
      </c>
      <c r="D17" s="68" t="s">
        <v>262</v>
      </c>
      <c r="E17" s="64" t="s">
        <v>261</v>
      </c>
      <c r="F17" s="68" t="s">
        <v>262</v>
      </c>
      <c r="G17" s="64" t="s">
        <v>261</v>
      </c>
      <c r="H17" s="68" t="s">
        <v>262</v>
      </c>
      <c r="I17" s="64" t="s">
        <v>261</v>
      </c>
      <c r="J17" s="68" t="s">
        <v>262</v>
      </c>
      <c r="K17" s="64" t="s">
        <v>261</v>
      </c>
      <c r="L17" s="68" t="s">
        <v>262</v>
      </c>
    </row>
    <row r="18" spans="1:12" x14ac:dyDescent="0.3">
      <c r="C18" s="59"/>
      <c r="E18" s="59"/>
      <c r="G18" s="59"/>
      <c r="I18" s="59"/>
      <c r="K18" s="59"/>
      <c r="L18" s="70"/>
    </row>
    <row r="19" spans="1:12" x14ac:dyDescent="0.3">
      <c r="A19" s="67" t="s">
        <v>263</v>
      </c>
      <c r="B19" s="62" t="s">
        <v>264</v>
      </c>
      <c r="C19" s="57" t="s">
        <v>265</v>
      </c>
      <c r="D19" s="51">
        <f>N5+(N5*$A$5)</f>
        <v>261318.64992187501</v>
      </c>
      <c r="E19" s="57" t="s">
        <v>265</v>
      </c>
      <c r="F19" s="51">
        <f>D19+(D19*$A$5)</f>
        <v>274384.58241796878</v>
      </c>
      <c r="G19" s="57" t="s">
        <v>265</v>
      </c>
      <c r="H19" s="51">
        <f>F19+(F19*$A$5)</f>
        <v>288103.81153886719</v>
      </c>
      <c r="I19" s="57" t="s">
        <v>265</v>
      </c>
      <c r="J19" s="51">
        <f>H19+(H19*$A$5)</f>
        <v>302509.00211581052</v>
      </c>
      <c r="K19" s="57" t="s">
        <v>265</v>
      </c>
      <c r="L19" s="70">
        <f>J19+(J19*$A$5)</f>
        <v>317634.45222160104</v>
      </c>
    </row>
    <row r="20" spans="1:12" x14ac:dyDescent="0.3">
      <c r="A20" s="67" t="s">
        <v>266</v>
      </c>
      <c r="B20" s="62" t="s">
        <v>267</v>
      </c>
      <c r="C20" s="59"/>
      <c r="E20" s="59"/>
      <c r="G20" s="59"/>
      <c r="I20" s="59"/>
      <c r="K20" s="57" t="s">
        <v>268</v>
      </c>
      <c r="L20" s="70">
        <f>N6+(N6*25%)</f>
        <v>78125</v>
      </c>
    </row>
    <row r="21" spans="1:12" ht="28.8" x14ac:dyDescent="0.3">
      <c r="A21" s="67" t="s">
        <v>263</v>
      </c>
      <c r="B21" s="62" t="s">
        <v>264</v>
      </c>
      <c r="C21" s="57" t="s">
        <v>269</v>
      </c>
      <c r="D21" s="51">
        <f>N7+(N7*$A$7)</f>
        <v>13400.956406249999</v>
      </c>
      <c r="E21" s="57" t="s">
        <v>269</v>
      </c>
      <c r="F21" s="51">
        <f>D21+(D21*$A$7)</f>
        <v>14071.0042265625</v>
      </c>
      <c r="G21" s="57" t="s">
        <v>269</v>
      </c>
      <c r="H21" s="51">
        <f>F21+(F21*$A$7)</f>
        <v>14774.554437890625</v>
      </c>
      <c r="I21" s="57" t="s">
        <v>269</v>
      </c>
      <c r="J21" s="51">
        <f>H21+(H21*$A$7)</f>
        <v>15513.282159785156</v>
      </c>
      <c r="K21" s="57" t="s">
        <v>269</v>
      </c>
      <c r="L21" s="70">
        <f>J21+(J21*$A$7)</f>
        <v>16288.946267774414</v>
      </c>
    </row>
    <row r="22" spans="1:12" x14ac:dyDescent="0.3">
      <c r="C22" s="59"/>
      <c r="E22" s="59"/>
      <c r="G22" s="59"/>
      <c r="I22" s="59"/>
      <c r="K22" s="59"/>
      <c r="L22" s="70"/>
    </row>
    <row r="23" spans="1:12" x14ac:dyDescent="0.3">
      <c r="C23" s="59"/>
      <c r="E23" s="59"/>
      <c r="G23" s="59"/>
      <c r="I23" s="59"/>
      <c r="K23" s="59"/>
      <c r="L23" s="70"/>
    </row>
    <row r="24" spans="1:12" x14ac:dyDescent="0.3">
      <c r="C24" s="59"/>
      <c r="E24" s="59"/>
      <c r="G24" s="59"/>
      <c r="I24" s="59"/>
      <c r="K24" s="59"/>
      <c r="L24" s="70"/>
    </row>
    <row r="25" spans="1:12" x14ac:dyDescent="0.3">
      <c r="C25" s="59"/>
      <c r="E25" s="59"/>
      <c r="G25" s="59"/>
      <c r="I25" s="59"/>
      <c r="K25" s="59"/>
      <c r="L25" s="70"/>
    </row>
    <row r="26" spans="1:12" x14ac:dyDescent="0.3">
      <c r="A26" s="62"/>
      <c r="B26" s="62"/>
      <c r="C26" s="57"/>
      <c r="E26" s="57"/>
      <c r="G26" s="57"/>
      <c r="I26" s="57"/>
      <c r="K26" s="57"/>
      <c r="L26" s="70"/>
    </row>
    <row r="27" spans="1:12" x14ac:dyDescent="0.3">
      <c r="A27" s="65" t="s">
        <v>257</v>
      </c>
      <c r="B27" s="65"/>
      <c r="C27" s="66"/>
      <c r="D27" s="69">
        <f>SUM(D18:D25)</f>
        <v>274719.606328125</v>
      </c>
      <c r="E27" s="66"/>
      <c r="F27" s="69">
        <f>SUM(F18:F25)</f>
        <v>288455.58664453129</v>
      </c>
      <c r="G27" s="66"/>
      <c r="H27" s="69">
        <f>SUM(H18:H25)</f>
        <v>302878.36597675784</v>
      </c>
      <c r="I27" s="66"/>
      <c r="J27" s="69">
        <f>SUM(J18:J25)</f>
        <v>318022.28427559568</v>
      </c>
      <c r="K27" s="66"/>
      <c r="L27" s="71">
        <f>SUM(L18:L25)</f>
        <v>412048.39848937542</v>
      </c>
    </row>
  </sheetData>
  <mergeCells count="15">
    <mergeCell ref="M2:N2"/>
    <mergeCell ref="C16:D16"/>
    <mergeCell ref="E16:F16"/>
    <mergeCell ref="A16:B16"/>
    <mergeCell ref="A17:B17"/>
    <mergeCell ref="G16:H16"/>
    <mergeCell ref="I16:J16"/>
    <mergeCell ref="K16:L16"/>
    <mergeCell ref="C2:D2"/>
    <mergeCell ref="E2:F2"/>
    <mergeCell ref="G2:H2"/>
    <mergeCell ref="I2:J2"/>
    <mergeCell ref="K2:L2"/>
    <mergeCell ref="A2:B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E649-2FB0-4FE6-A875-A116405F5370}">
  <dimension ref="A1:E12"/>
  <sheetViews>
    <sheetView tabSelected="1" workbookViewId="0">
      <selection activeCell="J11" sqref="J11"/>
    </sheetView>
  </sheetViews>
  <sheetFormatPr defaultRowHeight="14.4" x14ac:dyDescent="0.3"/>
  <cols>
    <col min="1" max="1" width="12.6640625" customWidth="1"/>
    <col min="2" max="4" width="16.6640625" style="51" customWidth="1"/>
    <col min="5" max="5" width="16" style="51" customWidth="1"/>
    <col min="7" max="7" width="9.88671875" bestFit="1" customWidth="1"/>
  </cols>
  <sheetData>
    <row r="1" spans="1:5" s="1" customFormat="1" x14ac:dyDescent="0.3">
      <c r="A1" s="1" t="s">
        <v>272</v>
      </c>
      <c r="B1" s="87" t="s">
        <v>273</v>
      </c>
      <c r="C1" s="87" t="s">
        <v>270</v>
      </c>
      <c r="D1" s="87" t="s">
        <v>274</v>
      </c>
      <c r="E1" s="87" t="s">
        <v>275</v>
      </c>
    </row>
    <row r="2" spans="1:5" x14ac:dyDescent="0.3">
      <c r="A2">
        <v>0</v>
      </c>
      <c r="B2" s="51">
        <f>'P1 Income'!E2</f>
        <v>4400000</v>
      </c>
      <c r="C2" s="51">
        <f>'P1 Loan'!B1</f>
        <v>360800</v>
      </c>
      <c r="D2" s="51">
        <f>'P1 Expenses'!D13</f>
        <v>512828.64</v>
      </c>
      <c r="E2" s="51">
        <f>B2+C2-D2</f>
        <v>4247971.3600000003</v>
      </c>
    </row>
    <row r="3" spans="1:5" x14ac:dyDescent="0.3">
      <c r="A3">
        <v>1</v>
      </c>
      <c r="B3" s="51">
        <f>'P1 Income'!E3</f>
        <v>5040000</v>
      </c>
      <c r="D3" s="51">
        <f>'P1 Expenses'!F13</f>
        <v>339288.64</v>
      </c>
      <c r="E3" s="51">
        <f t="shared" ref="E3:E12" si="0">B3+C3-D3</f>
        <v>4700711.3600000003</v>
      </c>
    </row>
    <row r="4" spans="1:5" x14ac:dyDescent="0.3">
      <c r="A4">
        <v>2</v>
      </c>
      <c r="B4" s="51">
        <f>'P1 Income'!E4</f>
        <v>5764000</v>
      </c>
      <c r="D4" s="51">
        <f>'P1 Expenses'!H13</f>
        <v>313801.14</v>
      </c>
      <c r="E4" s="51">
        <f t="shared" si="0"/>
        <v>5450198.8600000003</v>
      </c>
    </row>
    <row r="5" spans="1:5" x14ac:dyDescent="0.3">
      <c r="A5">
        <v>3</v>
      </c>
      <c r="B5" s="51">
        <f>'P1 Income'!E5</f>
        <v>6592400</v>
      </c>
      <c r="D5" s="51">
        <f>'P1 Expenses'!J13</f>
        <v>325101.76500000001</v>
      </c>
      <c r="E5" s="51">
        <f t="shared" si="0"/>
        <v>6267298.2350000003</v>
      </c>
    </row>
    <row r="6" spans="1:5" x14ac:dyDescent="0.3">
      <c r="A6">
        <v>4</v>
      </c>
      <c r="B6" s="51">
        <f>'P1 Income'!E6</f>
        <v>7539840</v>
      </c>
      <c r="D6" s="51">
        <f>'P1 Expenses'!L13</f>
        <v>336967.42125000001</v>
      </c>
      <c r="E6" s="51">
        <f t="shared" si="0"/>
        <v>7202872.5787500003</v>
      </c>
    </row>
    <row r="7" spans="1:5" x14ac:dyDescent="0.3">
      <c r="A7">
        <v>5</v>
      </c>
      <c r="B7" s="51">
        <f>'P1 Income'!E7</f>
        <v>8623444</v>
      </c>
      <c r="D7" s="51">
        <f>'P1 Expenses'!N13</f>
        <v>324137.72031249997</v>
      </c>
      <c r="E7" s="51">
        <f t="shared" si="0"/>
        <v>8299306.2796874996</v>
      </c>
    </row>
    <row r="8" spans="1:5" x14ac:dyDescent="0.3">
      <c r="A8">
        <v>6</v>
      </c>
      <c r="B8" s="51">
        <f>'P1 Income'!E8</f>
        <v>9862780.4000000004</v>
      </c>
      <c r="D8" s="51">
        <f>'P1 Expenses'!D27</f>
        <v>274719.606328125</v>
      </c>
      <c r="E8" s="51">
        <f t="shared" si="0"/>
        <v>9588060.7936718762</v>
      </c>
    </row>
    <row r="9" spans="1:5" x14ac:dyDescent="0.3">
      <c r="A9">
        <v>7</v>
      </c>
      <c r="B9" s="51">
        <f>'P1 Income'!E9</f>
        <v>11280230.640000001</v>
      </c>
      <c r="D9" s="51">
        <f>'P1 Expenses'!F27</f>
        <v>288455.58664453129</v>
      </c>
      <c r="E9" s="51">
        <f t="shared" si="0"/>
        <v>10991775.053355468</v>
      </c>
    </row>
    <row r="10" spans="1:5" x14ac:dyDescent="0.3">
      <c r="A10">
        <v>8</v>
      </c>
      <c r="B10" s="51">
        <f>'P1 Income'!E10</f>
        <v>12901392.723999999</v>
      </c>
      <c r="D10" s="51">
        <f>'P1 Expenses'!H27</f>
        <v>302878.36597675784</v>
      </c>
      <c r="E10" s="51">
        <f t="shared" si="0"/>
        <v>12598514.358023241</v>
      </c>
    </row>
    <row r="11" spans="1:5" x14ac:dyDescent="0.3">
      <c r="A11">
        <v>9</v>
      </c>
      <c r="B11" s="51">
        <f>'P1 Income'!E11</f>
        <v>14755543.5284</v>
      </c>
      <c r="D11" s="51">
        <f>'P1 Expenses'!J27</f>
        <v>318022.28427559568</v>
      </c>
      <c r="E11" s="51">
        <f t="shared" si="0"/>
        <v>14437521.244124405</v>
      </c>
    </row>
    <row r="12" spans="1:5" x14ac:dyDescent="0.3">
      <c r="A12">
        <v>10</v>
      </c>
      <c r="B12" s="51">
        <f>'P1 Income'!E12</f>
        <v>16876167.517439999</v>
      </c>
      <c r="D12" s="51">
        <f>'P1 Expenses'!L27</f>
        <v>412048.39848937542</v>
      </c>
      <c r="E12" s="51">
        <f t="shared" si="0"/>
        <v>16464119.118950624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E3E9-6A71-44FB-8D25-98BD0BB29527}">
  <dimension ref="A1:D15"/>
  <sheetViews>
    <sheetView workbookViewId="0">
      <selection activeCell="D14" sqref="D14"/>
    </sheetView>
  </sheetViews>
  <sheetFormatPr defaultRowHeight="14.4" x14ac:dyDescent="0.3"/>
  <cols>
    <col min="1" max="1" width="10.6640625" bestFit="1" customWidth="1"/>
    <col min="2" max="2" width="15" style="7" bestFit="1" customWidth="1"/>
    <col min="3" max="3" width="19.33203125" customWidth="1"/>
    <col min="4" max="4" width="22.33203125" bestFit="1" customWidth="1"/>
  </cols>
  <sheetData>
    <row r="1" spans="1:4" x14ac:dyDescent="0.3">
      <c r="A1" s="1" t="s">
        <v>253</v>
      </c>
      <c r="B1" s="80" t="s">
        <v>276</v>
      </c>
      <c r="C1" s="1" t="s">
        <v>277</v>
      </c>
      <c r="D1" s="1" t="s">
        <v>278</v>
      </c>
    </row>
    <row r="2" spans="1:4" x14ac:dyDescent="0.3">
      <c r="A2">
        <v>0</v>
      </c>
      <c r="B2" s="7">
        <f>'P1 Cash Flow'!E2</f>
        <v>4247971.3600000003</v>
      </c>
      <c r="C2" s="52">
        <f>PV($B$14,A2,0,1)</f>
        <v>-1</v>
      </c>
      <c r="D2" s="52">
        <f t="shared" ref="D2:D12" si="0">-PV($B$14,A2,0,B2)</f>
        <v>4247971.3600000003</v>
      </c>
    </row>
    <row r="3" spans="1:4" x14ac:dyDescent="0.3">
      <c r="A3">
        <v>1</v>
      </c>
      <c r="B3" s="7">
        <f>'P1 Cash Flow'!E3</f>
        <v>4700711.3600000003</v>
      </c>
      <c r="C3" s="52">
        <f t="shared" ref="C3:C12" si="1">PV($B$14,A3,0,1)</f>
        <v>-0.95238095238095233</v>
      </c>
      <c r="D3" s="52">
        <f t="shared" si="0"/>
        <v>4476867.9619047623</v>
      </c>
    </row>
    <row r="4" spans="1:4" x14ac:dyDescent="0.3">
      <c r="A4">
        <v>2</v>
      </c>
      <c r="B4" s="7">
        <f>'P1 Cash Flow'!E4</f>
        <v>5450198.8600000003</v>
      </c>
      <c r="C4" s="52">
        <f t="shared" si="1"/>
        <v>-0.90702947845804982</v>
      </c>
      <c r="D4" s="52">
        <f t="shared" si="0"/>
        <v>4943491.0294784578</v>
      </c>
    </row>
    <row r="5" spans="1:4" x14ac:dyDescent="0.3">
      <c r="A5">
        <v>3</v>
      </c>
      <c r="B5" s="7">
        <f>'P1 Cash Flow'!E5</f>
        <v>6267298.2350000003</v>
      </c>
      <c r="C5" s="52">
        <f t="shared" si="1"/>
        <v>-0.86383759853147601</v>
      </c>
      <c r="D5" s="52">
        <f t="shared" si="0"/>
        <v>5413927.8566029584</v>
      </c>
    </row>
    <row r="6" spans="1:4" x14ac:dyDescent="0.3">
      <c r="A6">
        <v>4</v>
      </c>
      <c r="B6" s="7">
        <f>'P1 Cash Flow'!E6</f>
        <v>7202872.5787500003</v>
      </c>
      <c r="C6" s="52">
        <f t="shared" si="1"/>
        <v>-0.82270247479188197</v>
      </c>
      <c r="D6" s="52">
        <f t="shared" si="0"/>
        <v>5925821.0961482096</v>
      </c>
    </row>
    <row r="7" spans="1:4" x14ac:dyDescent="0.3">
      <c r="A7">
        <v>5</v>
      </c>
      <c r="B7" s="7">
        <f>'P1 Cash Flow'!E7</f>
        <v>8299306.2796874996</v>
      </c>
      <c r="C7" s="52">
        <f t="shared" si="1"/>
        <v>-0.78352616646845896</v>
      </c>
      <c r="D7" s="52">
        <f t="shared" si="0"/>
        <v>6502723.6336711543</v>
      </c>
    </row>
    <row r="8" spans="1:4" x14ac:dyDescent="0.3">
      <c r="A8">
        <v>6</v>
      </c>
      <c r="B8" s="7">
        <f>'P1 Cash Flow'!E8</f>
        <v>9588060.7936718762</v>
      </c>
      <c r="C8" s="52">
        <f t="shared" si="1"/>
        <v>-0.74621539663662761</v>
      </c>
      <c r="D8" s="52">
        <f t="shared" si="0"/>
        <v>7154758.5881259581</v>
      </c>
    </row>
    <row r="9" spans="1:4" x14ac:dyDescent="0.3">
      <c r="A9">
        <v>7</v>
      </c>
      <c r="B9" s="7">
        <f>'P1 Cash Flow'!E9</f>
        <v>10991775.053355468</v>
      </c>
      <c r="C9" s="52">
        <f t="shared" si="1"/>
        <v>-0.71068133013012147</v>
      </c>
      <c r="D9" s="52">
        <f t="shared" si="0"/>
        <v>7811649.3154097507</v>
      </c>
    </row>
    <row r="10" spans="1:4" x14ac:dyDescent="0.3">
      <c r="A10">
        <v>8</v>
      </c>
      <c r="B10" s="7">
        <f>'P1 Cash Flow'!E10</f>
        <v>12598514.358023241</v>
      </c>
      <c r="C10" s="52">
        <f t="shared" si="1"/>
        <v>-0.67683936202868722</v>
      </c>
      <c r="D10" s="52">
        <f t="shared" si="0"/>
        <v>8527170.420593705</v>
      </c>
    </row>
    <row r="11" spans="1:4" x14ac:dyDescent="0.3">
      <c r="A11">
        <v>9</v>
      </c>
      <c r="B11" s="7">
        <f>'P1 Cash Flow'!E11</f>
        <v>14437521.244124405</v>
      </c>
      <c r="C11" s="52">
        <f t="shared" si="1"/>
        <v>-0.64460891621779726</v>
      </c>
      <c r="D11" s="52">
        <f t="shared" si="0"/>
        <v>9306554.9220464565</v>
      </c>
    </row>
    <row r="12" spans="1:4" x14ac:dyDescent="0.3">
      <c r="A12">
        <v>10</v>
      </c>
      <c r="B12" s="7">
        <f>'P1 Cash Flow'!E12</f>
        <v>16464119.118950624</v>
      </c>
      <c r="C12" s="52">
        <f t="shared" si="1"/>
        <v>-0.61391325354075932</v>
      </c>
      <c r="D12" s="52">
        <f t="shared" si="0"/>
        <v>10107540.934997598</v>
      </c>
    </row>
    <row r="14" spans="1:4" x14ac:dyDescent="0.3">
      <c r="A14" s="1" t="s">
        <v>279</v>
      </c>
      <c r="B14">
        <v>0.05</v>
      </c>
    </row>
    <row r="15" spans="1:4" x14ac:dyDescent="0.3">
      <c r="A15" s="1" t="s">
        <v>257</v>
      </c>
      <c r="D15" s="52">
        <f>SUM(D2:D12)</f>
        <v>74418477.118979007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D1E13D3A9A3F4B963E07AEBDEB75A6" ma:contentTypeVersion="4" ma:contentTypeDescription="Create a new document." ma:contentTypeScope="" ma:versionID="710f1569d37785621b46ebad7a167485">
  <xsd:schema xmlns:xsd="http://www.w3.org/2001/XMLSchema" xmlns:xs="http://www.w3.org/2001/XMLSchema" xmlns:p="http://schemas.microsoft.com/office/2006/metadata/properties" xmlns:ns2="21e8130d-ce71-4bc8-95bd-4806b5948600" targetNamespace="http://schemas.microsoft.com/office/2006/metadata/properties" ma:root="true" ma:fieldsID="c9a3e390125b15a75a442c51555565b1" ns2:_="">
    <xsd:import namespace="21e8130d-ce71-4bc8-95bd-4806b59486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8130d-ce71-4bc8-95bd-4806b59486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F47431-FB16-4C28-8C5B-D961F00602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e8130d-ce71-4bc8-95bd-4806b59486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2C153C-7949-425B-8D3D-312E6ADB83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167364-B7A9-4B8D-BA22-DB6031444FD3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www.w3.org/XML/1998/namespace"/>
    <ds:schemaRef ds:uri="21e8130d-ce71-4bc8-95bd-4806b5948600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Proposal 1 WBS</vt:lpstr>
      <vt:lpstr>Proposal 1 Resources</vt:lpstr>
      <vt:lpstr>P1 Loan</vt:lpstr>
      <vt:lpstr>P1 Income</vt:lpstr>
      <vt:lpstr>P1 Expenses</vt:lpstr>
      <vt:lpstr>P1 Cash Flow</vt:lpstr>
      <vt:lpstr>P1 Present Worth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Fenton,Michael</cp:lastModifiedBy>
  <cp:revision/>
  <dcterms:created xsi:type="dcterms:W3CDTF">2024-02-17T00:10:47Z</dcterms:created>
  <dcterms:modified xsi:type="dcterms:W3CDTF">2024-03-15T22:41:08Z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0x010100F9D1E13D3A9A3F4B963E07AEBDEB75A6</vt:lpwstr>
  </property>
</Properties>
</file>