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mc:AlternateContent xmlns:mc="http://schemas.openxmlformats.org/markup-compatibility/2006">
    <mc:Choice Requires="x15">
      <x15ac:absPath xmlns:x15ac="http://schemas.microsoft.com/office/spreadsheetml/2010/11/ac" url="https://drexel0.sharepoint.com/sites/SE630Group1/Shared Documents/General/"/>
    </mc:Choice>
  </mc:AlternateContent>
  <xr:revisionPtr revIDLastSave="4394" documentId="11_51174DBCDD133713437D847C1D6400FF3CED4083" xr6:coauthVersionLast="47" xr6:coauthVersionMax="47" xr10:uidLastSave="{2CE29040-85C4-4994-B9A1-32AD6F27F413}"/>
  <bookViews>
    <workbookView xWindow="-108" yWindow="-108" windowWidth="23256" windowHeight="12456" tabRatio="855" firstSheet="5" xr2:uid="{00000000-000D-0000-FFFF-FFFF00000000}"/>
  </bookViews>
  <sheets>
    <sheet name="Proposal 2 WBS" sheetId="3" r:id="rId1"/>
    <sheet name="Proposal 2 Resources" sheetId="5" r:id="rId2"/>
    <sheet name="P2 Loan" sheetId="11" r:id="rId3"/>
    <sheet name="P2 Income" sheetId="12" r:id="rId4"/>
    <sheet name="P2 Expense" sheetId="13" r:id="rId5"/>
    <sheet name="P2 Cash Flow" sheetId="14" r:id="rId6"/>
    <sheet name="P2 Present Worth" sheetId="1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5" l="1"/>
  <c r="C12" i="14"/>
  <c r="C11" i="14"/>
  <c r="C10" i="14"/>
  <c r="C9" i="14"/>
  <c r="C8" i="14"/>
  <c r="D8" i="14" s="1"/>
  <c r="B8" i="15" s="1"/>
  <c r="C7" i="14"/>
  <c r="C6" i="14"/>
  <c r="D6" i="14" s="1"/>
  <c r="B6" i="15" s="1"/>
  <c r="C5" i="14"/>
  <c r="D5" i="14" s="1"/>
  <c r="B5" i="15" s="1"/>
  <c r="C4" i="14"/>
  <c r="D4" i="14" s="1"/>
  <c r="B4" i="15" s="1"/>
  <c r="C3" i="14"/>
  <c r="C2" i="14"/>
  <c r="B3" i="14"/>
  <c r="B4" i="14"/>
  <c r="B5" i="14"/>
  <c r="B6" i="14"/>
  <c r="B7" i="14"/>
  <c r="B8" i="14"/>
  <c r="B9" i="14"/>
  <c r="B10" i="14"/>
  <c r="B11" i="14"/>
  <c r="B12" i="14"/>
  <c r="B4" i="12"/>
  <c r="C5" i="12" s="1"/>
  <c r="B3" i="12"/>
  <c r="B2" i="14"/>
  <c r="C4" i="12"/>
  <c r="D3" i="12"/>
  <c r="C3" i="12"/>
  <c r="D2" i="12"/>
  <c r="E2" i="12" s="1"/>
  <c r="D3" i="14" l="1"/>
  <c r="B3" i="15" s="1"/>
  <c r="D9" i="14"/>
  <c r="B9" i="15" s="1"/>
  <c r="D12" i="14"/>
  <c r="B12" i="15" s="1"/>
  <c r="D12" i="15" s="1"/>
  <c r="D11" i="14"/>
  <c r="B11" i="15" s="1"/>
  <c r="D7" i="14"/>
  <c r="B7" i="15" s="1"/>
  <c r="D10" i="14"/>
  <c r="B10" i="15" s="1"/>
  <c r="D2" i="14"/>
  <c r="B2" i="15" s="1"/>
  <c r="D4" i="12"/>
  <c r="E4" i="12"/>
  <c r="B5" i="12" s="1"/>
  <c r="E3" i="12"/>
  <c r="E5" i="12" l="1"/>
  <c r="B6" i="12" s="1"/>
  <c r="C6" i="12"/>
  <c r="D5" i="12"/>
  <c r="D6" i="12" l="1"/>
  <c r="E6" i="12" s="1"/>
  <c r="B7" i="12" s="1"/>
  <c r="C7" i="12"/>
  <c r="C8" i="12" l="1"/>
  <c r="D7" i="12"/>
  <c r="E7" i="12" s="1"/>
  <c r="B8" i="12" s="1"/>
  <c r="C9" i="12" l="1"/>
  <c r="D8" i="12"/>
  <c r="E8" i="12"/>
  <c r="B9" i="12" s="1"/>
  <c r="C10" i="12" l="1"/>
  <c r="D9" i="12"/>
  <c r="E9" i="12"/>
  <c r="B10" i="12" s="1"/>
  <c r="D10" i="12" l="1"/>
  <c r="E10" i="12" s="1"/>
  <c r="B11" i="12" s="1"/>
  <c r="C11" i="12"/>
  <c r="D11" i="12" l="1"/>
  <c r="E11" i="12" s="1"/>
  <c r="B12" i="12" s="1"/>
  <c r="D12" i="12" s="1"/>
  <c r="C12" i="12"/>
  <c r="E12" i="12" l="1"/>
  <c r="D11" i="15" l="1"/>
  <c r="D10" i="15"/>
  <c r="D9" i="15"/>
  <c r="D8" i="15"/>
  <c r="D7" i="15"/>
  <c r="D6" i="15"/>
  <c r="D5" i="15"/>
  <c r="D4" i="15"/>
  <c r="D3" i="15"/>
  <c r="D2" i="15"/>
  <c r="D15" i="15" l="1"/>
  <c r="C11" i="15"/>
  <c r="C10" i="15"/>
  <c r="C9" i="15"/>
  <c r="C8" i="15"/>
  <c r="C7" i="15"/>
  <c r="C6" i="15"/>
  <c r="C5" i="15"/>
  <c r="C4" i="15"/>
  <c r="C3" i="15"/>
  <c r="C2" i="15"/>
  <c r="E10" i="13"/>
  <c r="G10" i="13" s="1"/>
  <c r="I10" i="13" s="1"/>
  <c r="K10" i="13" s="1"/>
  <c r="M10" i="13" s="1"/>
  <c r="C25" i="13" s="1"/>
  <c r="E25" i="13" s="1"/>
  <c r="G25" i="13" s="1"/>
  <c r="I25" i="13" s="1"/>
  <c r="K25" i="13" s="1"/>
  <c r="E8" i="13"/>
  <c r="G8" i="13" s="1"/>
  <c r="I8" i="13" s="1"/>
  <c r="K8" i="13" s="1"/>
  <c r="M8" i="13" s="1"/>
  <c r="C23" i="13" s="1"/>
  <c r="E23" i="13" s="1"/>
  <c r="G23" i="13" s="1"/>
  <c r="I23" i="13" s="1"/>
  <c r="K23" i="13" s="1"/>
  <c r="B11" i="11"/>
  <c r="C11" i="11"/>
  <c r="D11" i="11"/>
  <c r="B12" i="11"/>
  <c r="C12" i="11"/>
  <c r="D12" i="11"/>
  <c r="B13" i="11"/>
  <c r="C13" i="11"/>
  <c r="D13" i="11"/>
  <c r="B14" i="11"/>
  <c r="C14" i="11"/>
  <c r="D14" i="11"/>
  <c r="B15" i="11"/>
  <c r="C15" i="11"/>
  <c r="D15" i="11"/>
  <c r="D10" i="11"/>
  <c r="D9" i="11"/>
  <c r="D8" i="11"/>
  <c r="D7" i="11"/>
  <c r="D6" i="11"/>
  <c r="C10" i="11"/>
  <c r="C9" i="11"/>
  <c r="C8" i="11"/>
  <c r="C7" i="11"/>
  <c r="C6" i="11"/>
  <c r="B7" i="11"/>
  <c r="B8" i="11"/>
  <c r="B9" i="11"/>
  <c r="B10" i="11"/>
  <c r="B6" i="11"/>
  <c r="F96" i="3"/>
  <c r="G92" i="3"/>
  <c r="G91" i="3"/>
  <c r="G77" i="3"/>
  <c r="G90" i="3"/>
  <c r="G89" i="3"/>
  <c r="G69" i="3"/>
  <c r="G68" i="3"/>
  <c r="G60" i="3"/>
  <c r="G82" i="3"/>
  <c r="G83" i="3"/>
  <c r="G84" i="3"/>
  <c r="G85" i="3"/>
  <c r="G81" i="3"/>
  <c r="G65" i="3"/>
  <c r="G55" i="3"/>
  <c r="G64" i="3"/>
  <c r="G74" i="3"/>
  <c r="G75" i="3"/>
  <c r="G76" i="3"/>
  <c r="G73" i="3"/>
  <c r="G61" i="3"/>
  <c r="G29" i="3"/>
  <c r="G54" i="3"/>
  <c r="G53" i="3"/>
  <c r="G52" i="3"/>
  <c r="G49" i="3"/>
  <c r="G47" i="3"/>
  <c r="G48" i="3"/>
  <c r="G46" i="3"/>
  <c r="G31" i="3"/>
  <c r="G43" i="3"/>
  <c r="G40" i="3"/>
  <c r="G42" i="3"/>
  <c r="G41" i="3"/>
  <c r="G37" i="3"/>
  <c r="G36" i="3"/>
  <c r="G35" i="3"/>
  <c r="G32" i="3"/>
  <c r="G30" i="3"/>
  <c r="G26" i="3"/>
  <c r="G25" i="3"/>
  <c r="G24" i="3"/>
  <c r="G21" i="3"/>
  <c r="G88" i="3"/>
  <c r="H87" i="3" s="1"/>
  <c r="G80" i="3"/>
  <c r="H79" i="3" s="1"/>
  <c r="G72" i="3"/>
  <c r="H71" i="3" s="1"/>
  <c r="G67" i="3"/>
  <c r="G63" i="3"/>
  <c r="G59" i="3"/>
  <c r="H58" i="3" s="1"/>
  <c r="G51" i="3"/>
  <c r="G45" i="3"/>
  <c r="G39" i="3"/>
  <c r="G34" i="3"/>
  <c r="G28" i="3"/>
  <c r="G23" i="3"/>
  <c r="G20" i="3"/>
  <c r="G19" i="3"/>
  <c r="G18" i="3"/>
  <c r="G17" i="3"/>
  <c r="G16" i="3" s="1"/>
  <c r="H15" i="3" s="1"/>
  <c r="G12" i="3"/>
  <c r="G11" i="3"/>
  <c r="G10" i="3"/>
  <c r="G9" i="3" s="1"/>
  <c r="H8" i="3" s="1"/>
  <c r="G6" i="3"/>
  <c r="G4" i="3"/>
  <c r="G5" i="3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2" i="5"/>
  <c r="G3" i="3" l="1"/>
  <c r="H2" i="3" s="1"/>
  <c r="H97" i="3" s="1"/>
</calcChain>
</file>

<file path=xl/sharedStrings.xml><?xml version="1.0" encoding="utf-8"?>
<sst xmlns="http://schemas.openxmlformats.org/spreadsheetml/2006/main" count="462" uniqueCount="254">
  <si>
    <t>Task ID</t>
  </si>
  <si>
    <t>Task</t>
  </si>
  <si>
    <t>Resource</t>
  </si>
  <si>
    <t>Dependencies</t>
  </si>
  <si>
    <t>Number of Resources</t>
  </si>
  <si>
    <t>Duration (hrs)</t>
  </si>
  <si>
    <t>Cost</t>
  </si>
  <si>
    <t>Subtotal</t>
  </si>
  <si>
    <t>PHASE-1</t>
  </si>
  <si>
    <t>Project Initiation</t>
  </si>
  <si>
    <t xml:space="preserve">   Project Kickoff Meeting</t>
  </si>
  <si>
    <t>Project Manager</t>
  </si>
  <si>
    <t>-</t>
  </si>
  <si>
    <t xml:space="preserve">   Project Planning</t>
  </si>
  <si>
    <t>Project Manager &amp; Business Analyst</t>
  </si>
  <si>
    <t xml:space="preserve">   Contract Negotiation</t>
  </si>
  <si>
    <t>1.1,1.2</t>
  </si>
  <si>
    <t>PHASE-1 Complete</t>
  </si>
  <si>
    <t>PHASE - 2 Requirement Analysis</t>
  </si>
  <si>
    <t xml:space="preserve">   Gather Business Requirements</t>
  </si>
  <si>
    <t>Business Analyst &amp; Stakeholders</t>
  </si>
  <si>
    <t xml:space="preserve">   Define Functional Requirements</t>
  </si>
  <si>
    <t>Business Analyst &amp; IT Manager</t>
  </si>
  <si>
    <t xml:space="preserve">   Define Non-Functional Requirements</t>
  </si>
  <si>
    <t xml:space="preserve">Business Analyst </t>
  </si>
  <si>
    <t>2.1,2.2</t>
  </si>
  <si>
    <t>PHASE-2 Complete</t>
  </si>
  <si>
    <t>PHASE - 3 Platform Optimization</t>
  </si>
  <si>
    <t xml:space="preserve">   User Experience Enhancement</t>
  </si>
  <si>
    <t>3.1.1</t>
  </si>
  <si>
    <t xml:space="preserve">      Conduct User Surveys</t>
  </si>
  <si>
    <t>Front-end Developers</t>
  </si>
  <si>
    <t>3.1.2</t>
  </si>
  <si>
    <t xml:space="preserve">      Analyze User Feedback</t>
  </si>
  <si>
    <t>3.1.3</t>
  </si>
  <si>
    <t xml:space="preserve">      Design User Personas</t>
  </si>
  <si>
    <t>Sr Developer</t>
  </si>
  <si>
    <t>3.1.1.3.1.2</t>
  </si>
  <si>
    <t>3.1.4</t>
  </si>
  <si>
    <t xml:space="preserve">      Wireframing and Prototyping</t>
  </si>
  <si>
    <t>3.1.5</t>
  </si>
  <si>
    <t xml:space="preserve">      User Interface Design</t>
  </si>
  <si>
    <t>UX Designer</t>
  </si>
  <si>
    <t>3.1.3,3.1.4</t>
  </si>
  <si>
    <t xml:space="preserve">   Interface Design</t>
  </si>
  <si>
    <t>3.2.1</t>
  </si>
  <si>
    <t xml:space="preserve">      Design Interface Layout</t>
  </si>
  <si>
    <t>3.1.3,3.1.5</t>
  </si>
  <si>
    <t>3.2.2</t>
  </si>
  <si>
    <t xml:space="preserve">      Implement Responsive Design</t>
  </si>
  <si>
    <t>3.2.3</t>
  </si>
  <si>
    <t xml:space="preserve">      Visual Design Enhancement</t>
  </si>
  <si>
    <t>3.2.1,3.2.3</t>
  </si>
  <si>
    <t xml:space="preserve">   Scalability Improvement</t>
  </si>
  <si>
    <t>3.3.1</t>
  </si>
  <si>
    <t xml:space="preserve">      Performance Testing</t>
  </si>
  <si>
    <t xml:space="preserve"> Tester I</t>
  </si>
  <si>
    <t>3.3.2</t>
  </si>
  <si>
    <t xml:space="preserve">      Load Testing</t>
  </si>
  <si>
    <t>Tester I</t>
  </si>
  <si>
    <t>3.3.3</t>
  </si>
  <si>
    <t xml:space="preserve">      Scalability Analysis</t>
  </si>
  <si>
    <t>Back-end Developer</t>
  </si>
  <si>
    <t>3.3.1,3.3.2</t>
  </si>
  <si>
    <t>3.3.4</t>
  </si>
  <si>
    <t xml:space="preserve">      Implement Scalability Solutions</t>
  </si>
  <si>
    <t>3.3.1,3.3.2,3.3.3</t>
  </si>
  <si>
    <t xml:space="preserve">   Customer-Centric Features Integration</t>
  </si>
  <si>
    <t>3.4.1</t>
  </si>
  <si>
    <t xml:space="preserve">      Feature Prioritization</t>
  </si>
  <si>
    <t>3.1.2,3.2.1</t>
  </si>
  <si>
    <t>3.4.2</t>
  </si>
  <si>
    <t xml:space="preserve">      Development of Customer-Centric Features</t>
  </si>
  <si>
    <t>3.4.3</t>
  </si>
  <si>
    <t xml:space="preserve">      Testing and Feedback Incorporation</t>
  </si>
  <si>
    <t>Tester II</t>
  </si>
  <si>
    <t>3.3.4,3.1.2,3.1.1,3.1.5</t>
  </si>
  <si>
    <t xml:space="preserve">   Integration of Salesforce</t>
  </si>
  <si>
    <t>3.3.4,3.4.1,3.4.2</t>
  </si>
  <si>
    <t>3.5.1</t>
  </si>
  <si>
    <t xml:space="preserve">      Requirement Gathering for Integration</t>
  </si>
  <si>
    <t xml:space="preserve">Integration Specialist </t>
  </si>
  <si>
    <t>3.5.2</t>
  </si>
  <si>
    <t xml:space="preserve">      Configuration and Customization</t>
  </si>
  <si>
    <t>Saleforce Admins</t>
  </si>
  <si>
    <t>3.5.3</t>
  </si>
  <si>
    <t xml:space="preserve">      Data Migration and Synchronization</t>
  </si>
  <si>
    <t>3.5.1,3.5.2</t>
  </si>
  <si>
    <t>3.5.4</t>
  </si>
  <si>
    <t xml:space="preserve">      Testing and User Acceptance</t>
  </si>
  <si>
    <t>3.5.1,3.5.2,3.5.3</t>
  </si>
  <si>
    <t xml:space="preserve">   Integration of Payment Gateways</t>
  </si>
  <si>
    <t>3.6.1</t>
  </si>
  <si>
    <t xml:space="preserve">      Research and Selection of Payment Gateways</t>
  </si>
  <si>
    <t>2.1,3.1.1,3.1.2</t>
  </si>
  <si>
    <t>3.6.2</t>
  </si>
  <si>
    <t xml:space="preserve">      Integration Planning</t>
  </si>
  <si>
    <t>3.6.3</t>
  </si>
  <si>
    <t xml:space="preserve">      Payment Gateway Implementation</t>
  </si>
  <si>
    <t>2.2,3.1.3,3.6.2</t>
  </si>
  <si>
    <t>3.6.4</t>
  </si>
  <si>
    <t xml:space="preserve">      Testing Payment Processes</t>
  </si>
  <si>
    <t>Payment Gateway Specialist</t>
  </si>
  <si>
    <t xml:space="preserve">   Technology Upgrade</t>
  </si>
  <si>
    <t>3.7.1</t>
  </si>
  <si>
    <t xml:space="preserve">      Assess Current Technology Stack</t>
  </si>
  <si>
    <t>IT Manager</t>
  </si>
  <si>
    <t>3.7.2</t>
  </si>
  <si>
    <t xml:space="preserve">      Research and Selection of New Technologies</t>
  </si>
  <si>
    <t>3.7.3</t>
  </si>
  <si>
    <t xml:space="preserve">      Implementation of Technology Upgrade</t>
  </si>
  <si>
    <t>3.7.4</t>
  </si>
  <si>
    <t xml:space="preserve">      Testing and Debugging</t>
  </si>
  <si>
    <t>3.6.4,3.7.4</t>
  </si>
  <si>
    <t>PHASE-3 Complete</t>
  </si>
  <si>
    <t>PHASE - 4 Resource Allocation</t>
  </si>
  <si>
    <t xml:space="preserve">   Team Formation</t>
  </si>
  <si>
    <t>4.1.1</t>
  </si>
  <si>
    <t xml:space="preserve">      Identify Team Members</t>
  </si>
  <si>
    <t>HR</t>
  </si>
  <si>
    <t>1.2,2.1</t>
  </si>
  <si>
    <t>4.1.2</t>
  </si>
  <si>
    <t xml:space="preserve">      Assign Roles and Responsibilities</t>
  </si>
  <si>
    <t xml:space="preserve">   Setup Infrastructure</t>
  </si>
  <si>
    <t>4.2.1</t>
  </si>
  <si>
    <t xml:space="preserve">      Procure Necessary Hardware and Software</t>
  </si>
  <si>
    <t>4.2.2</t>
  </si>
  <si>
    <t xml:space="preserve">      Setup Development and Testing Environments</t>
  </si>
  <si>
    <t xml:space="preserve">   Onboarding and Training</t>
  </si>
  <si>
    <t>4.3.1</t>
  </si>
  <si>
    <t xml:space="preserve">      Orientation to Project Goals and Objectives</t>
  </si>
  <si>
    <t>4.3.2</t>
  </si>
  <si>
    <t xml:space="preserve">      Training on Tools and Technologies</t>
  </si>
  <si>
    <t>PHASE-4 Complete</t>
  </si>
  <si>
    <t>PHASE - 5 Project Management</t>
  </si>
  <si>
    <t xml:space="preserve">   Task Scheduling</t>
  </si>
  <si>
    <t xml:space="preserve">   Progress Monitoring</t>
  </si>
  <si>
    <t xml:space="preserve">   Issue Tracking and Resolution</t>
  </si>
  <si>
    <t>2,3,4</t>
  </si>
  <si>
    <t xml:space="preserve">   Stakeholder Communication</t>
  </si>
  <si>
    <t xml:space="preserve">   Risk Management</t>
  </si>
  <si>
    <t>1,2,3,4,5.1,5.2,5.3,5.4</t>
  </si>
  <si>
    <t>PHASE-5 Complete</t>
  </si>
  <si>
    <t>PHASE- 6 Quality Assurance</t>
  </si>
  <si>
    <t xml:space="preserve">   Test Plan Development</t>
  </si>
  <si>
    <t>5.1,5.2</t>
  </si>
  <si>
    <t xml:space="preserve">   Test Case Creation</t>
  </si>
  <si>
    <t xml:space="preserve">   Functional Testing</t>
  </si>
  <si>
    <t>6.1,6.2</t>
  </si>
  <si>
    <t xml:space="preserve">   Performance Testing</t>
  </si>
  <si>
    <t>6.1,6.2,6.3</t>
  </si>
  <si>
    <t xml:space="preserve">   User Acceptance Testing</t>
  </si>
  <si>
    <t>6.1,6.2,6.3,6.4</t>
  </si>
  <si>
    <t>PHASE-6 Complete</t>
  </si>
  <si>
    <t>PHASE - 7 Deployment and Post-Deployment Support</t>
  </si>
  <si>
    <t xml:space="preserve">   Deployment Planning</t>
  </si>
  <si>
    <t>DevOps Engineer</t>
  </si>
  <si>
    <t xml:space="preserve">   Deployment Execution</t>
  </si>
  <si>
    <t xml:space="preserve">   Post-Deployment Monitoring</t>
  </si>
  <si>
    <t>7.1,7.2</t>
  </si>
  <si>
    <t xml:space="preserve">   Bug Fixing and Maintenance</t>
  </si>
  <si>
    <t>Support Staff</t>
  </si>
  <si>
    <t>PHASE-7 Complete</t>
  </si>
  <si>
    <t>Project Complete</t>
  </si>
  <si>
    <t xml:space="preserve">                                                                                                                      TOTAL HOURS</t>
  </si>
  <si>
    <t>TOTAL COST</t>
  </si>
  <si>
    <t>Hourly</t>
  </si>
  <si>
    <t>FTE</t>
  </si>
  <si>
    <t>Business Analyst</t>
  </si>
  <si>
    <t>Front-end Developer</t>
  </si>
  <si>
    <t>Intergration Specialist</t>
  </si>
  <si>
    <t>Loan Amount:</t>
  </si>
  <si>
    <t>Interest Rate:</t>
  </si>
  <si>
    <t>Loan Payment Period (years):</t>
  </si>
  <si>
    <t>End of Year</t>
  </si>
  <si>
    <t>Loan Payment</t>
  </si>
  <si>
    <t>Principal Payment</t>
  </si>
  <si>
    <t xml:space="preserve">Interest payment </t>
  </si>
  <si>
    <t>Online Sales</t>
  </si>
  <si>
    <t>Increased Price</t>
  </si>
  <si>
    <t>Increased Sales</t>
  </si>
  <si>
    <t>Total</t>
  </si>
  <si>
    <t>Increased Sales / yr</t>
  </si>
  <si>
    <t>Increased Price / yr</t>
  </si>
  <si>
    <t>Increases</t>
  </si>
  <si>
    <t>Tasks</t>
  </si>
  <si>
    <t>Costs</t>
  </si>
  <si>
    <t>5% /1year</t>
  </si>
  <si>
    <t>Salaries (Development)</t>
  </si>
  <si>
    <t>$50,000</t>
  </si>
  <si>
    <t>$52,500</t>
  </si>
  <si>
    <t>$55,125</t>
  </si>
  <si>
    <t>$57,881</t>
  </si>
  <si>
    <t>$60,775</t>
  </si>
  <si>
    <t>$63,814</t>
  </si>
  <si>
    <t>Salaries (Testing)</t>
  </si>
  <si>
    <t>$8,000</t>
  </si>
  <si>
    <t>$8,400</t>
  </si>
  <si>
    <t>$8,820</t>
  </si>
  <si>
    <t>$9,261</t>
  </si>
  <si>
    <t>$9,724</t>
  </si>
  <si>
    <t>$10,210</t>
  </si>
  <si>
    <t>Resource Costs</t>
  </si>
  <si>
    <t>$16,000</t>
  </si>
  <si>
    <t>25% /5years</t>
  </si>
  <si>
    <t>Technology Upgrades</t>
  </si>
  <si>
    <t>$0</t>
  </si>
  <si>
    <t>$62,500</t>
  </si>
  <si>
    <t>Buffer Expense</t>
  </si>
  <si>
    <t>$5,000</t>
  </si>
  <si>
    <t>Post-implementation Support</t>
  </si>
  <si>
    <t>$10,000</t>
  </si>
  <si>
    <t>$10,500</t>
  </si>
  <si>
    <t>$11,025</t>
  </si>
  <si>
    <t>$11,576</t>
  </si>
  <si>
    <t>$12,155</t>
  </si>
  <si>
    <t>$12,763</t>
  </si>
  <si>
    <t>Licensing Fees</t>
  </si>
  <si>
    <t>Contingency Budget</t>
  </si>
  <si>
    <t>$154,000</t>
  </si>
  <si>
    <t>$107,900</t>
  </si>
  <si>
    <t>$111,995</t>
  </si>
  <si>
    <t>$116,294</t>
  </si>
  <si>
    <t>$120,809</t>
  </si>
  <si>
    <t>$188,050</t>
  </si>
  <si>
    <t>$67,005</t>
  </si>
  <si>
    <t>$70,355</t>
  </si>
  <si>
    <t>$73,873</t>
  </si>
  <si>
    <t>$77,566</t>
  </si>
  <si>
    <t>$81,445</t>
  </si>
  <si>
    <t>$10,721</t>
  </si>
  <si>
    <t>$11,257</t>
  </si>
  <si>
    <t>$11,820</t>
  </si>
  <si>
    <t>$12,411</t>
  </si>
  <si>
    <t>$13,031</t>
  </si>
  <si>
    <t>$78,125</t>
  </si>
  <si>
    <t>$13,401</t>
  </si>
  <si>
    <t>$14,071</t>
  </si>
  <si>
    <t>$14,775</t>
  </si>
  <si>
    <t>$15,513</t>
  </si>
  <si>
    <t>$16,289</t>
  </si>
  <si>
    <t>$130,528</t>
  </si>
  <si>
    <t>$135,754</t>
  </si>
  <si>
    <t>$141,243</t>
  </si>
  <si>
    <t>$147,003</t>
  </si>
  <si>
    <t>$231,179</t>
  </si>
  <si>
    <t>End of year</t>
  </si>
  <si>
    <t>Income</t>
  </si>
  <si>
    <t>Expenses</t>
  </si>
  <si>
    <t>Net Cash Flow</t>
  </si>
  <si>
    <t>Cash flow value</t>
  </si>
  <si>
    <t>(P/F,i,n)</t>
  </si>
  <si>
    <t>Present Worth Cash Flow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</si>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</sst>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&quot;$&quot;#,##0.00"/>
    <numFmt numFmtId="165" formatCode="&quot;$&quot;#,##0"/>
    <numFmt numFmtId="166" formatCode="_([$$-409]* #,##0_);_([$$-409]* \(#,##0\);_([$$-409]* &quot;-&quot;??_);_(@_)"/>
  </numFmts>
  <fonts count="1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scheme val="major"/>
    </font>
    <font>
      <sz val="11"/>
      <color theme="1"/>
      <name val="Aptos Display"/>
      <scheme val="major"/>
    </font>
    <font>
      <b/>
      <sz val="14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1"/>
      <color theme="1"/>
      <name val="Aptos Display"/>
    </font>
    <font>
      <b/>
      <sz val="11"/>
      <color rgb="FF000000"/>
      <name val="Aptos Display"/>
    </font>
    <font>
      <sz val="11"/>
      <color rgb="FF000000"/>
      <name val="Aptos Display"/>
    </font>
    <font>
      <sz val="12"/>
      <color theme="1"/>
      <name val="Times New Roman"/>
      <family val="1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Times New Roman"/>
      <family val="1"/>
    </font>
    <font>
      <i/>
      <sz val="11"/>
      <color theme="1"/>
      <name val="Aptos Display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6" fontId="0" fillId="0" borderId="1" xfId="0" applyNumberFormat="1" applyBorder="1"/>
    <xf numFmtId="0" fontId="6" fillId="0" borderId="0" xfId="0" applyFont="1"/>
    <xf numFmtId="0" fontId="13" fillId="0" borderId="0" xfId="0" applyFont="1"/>
    <xf numFmtId="0" fontId="0" fillId="0" borderId="0" xfId="0" applyAlignment="1">
      <alignment wrapText="1"/>
    </xf>
    <xf numFmtId="8" fontId="0" fillId="0" borderId="1" xfId="0" applyNumberFormat="1" applyBorder="1"/>
    <xf numFmtId="0" fontId="1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165" fontId="0" fillId="0" borderId="1" xfId="0" applyNumberFormat="1" applyBorder="1"/>
    <xf numFmtId="165" fontId="0" fillId="0" borderId="0" xfId="0" applyNumberFormat="1"/>
    <xf numFmtId="165" fontId="1" fillId="0" borderId="1" xfId="0" applyNumberFormat="1" applyFont="1" applyBorder="1"/>
    <xf numFmtId="165" fontId="1" fillId="0" borderId="1" xfId="0" applyNumberFormat="1" applyFont="1" applyBorder="1" applyAlignment="1">
      <alignment horizont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8" fontId="0" fillId="0" borderId="0" xfId="0" applyNumberFormat="1"/>
    <xf numFmtId="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166" fontId="0" fillId="0" borderId="0" xfId="0" applyNumberFormat="1"/>
    <xf numFmtId="0" fontId="1" fillId="0" borderId="4" xfId="0" applyFont="1" applyBorder="1" applyAlignment="1">
      <alignment horizontal="center" wrapText="1"/>
    </xf>
    <xf numFmtId="165" fontId="0" fillId="0" borderId="9" xfId="0" applyNumberFormat="1" applyBorder="1"/>
    <xf numFmtId="0" fontId="0" fillId="0" borderId="9" xfId="0" applyBorder="1"/>
    <xf numFmtId="0" fontId="0" fillId="0" borderId="11" xfId="0" applyBorder="1"/>
    <xf numFmtId="0" fontId="1" fillId="0" borderId="9" xfId="0" applyFont="1" applyBorder="1" applyAlignment="1">
      <alignment wrapText="1"/>
    </xf>
    <xf numFmtId="9" fontId="1" fillId="0" borderId="9" xfId="0" applyNumberFormat="1" applyFont="1" applyBorder="1" applyAlignment="1">
      <alignment wrapText="1"/>
    </xf>
    <xf numFmtId="0" fontId="0" fillId="0" borderId="11" xfId="0" applyBorder="1" applyAlignment="1">
      <alignment wrapText="1"/>
    </xf>
    <xf numFmtId="165" fontId="1" fillId="0" borderId="8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0" fontId="0" fillId="0" borderId="0" xfId="0" applyNumberFormat="1"/>
    <xf numFmtId="0" fontId="14" fillId="0" borderId="0" xfId="0" applyFont="1"/>
    <xf numFmtId="165" fontId="1" fillId="0" borderId="0" xfId="0" applyNumberFormat="1" applyFont="1" applyAlignment="1">
      <alignment horizontal="left"/>
    </xf>
    <xf numFmtId="0" fontId="15" fillId="0" borderId="0" xfId="0" applyFont="1"/>
    <xf numFmtId="6" fontId="15" fillId="0" borderId="0" xfId="0" applyNumberFormat="1" applyFont="1"/>
    <xf numFmtId="165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5" fontId="3" fillId="0" borderId="0" xfId="0" applyNumberFormat="1" applyFont="1"/>
    <xf numFmtId="9" fontId="2" fillId="0" borderId="0" xfId="0" quotePrefix="1" applyNumberFormat="1" applyFont="1" applyAlignment="1">
      <alignment wrapText="1"/>
    </xf>
    <xf numFmtId="6" fontId="3" fillId="0" borderId="0" xfId="0" applyNumberFormat="1" applyFont="1"/>
    <xf numFmtId="9" fontId="3" fillId="0" borderId="0" xfId="0" applyNumberFormat="1" applyFont="1"/>
    <xf numFmtId="8" fontId="3" fillId="0" borderId="0" xfId="0" applyNumberFormat="1" applyFont="1"/>
    <xf numFmtId="165" fontId="1" fillId="0" borderId="0" xfId="0" applyNumberFormat="1" applyFont="1"/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wrapText="1"/>
    </xf>
    <xf numFmtId="165" fontId="0" fillId="0" borderId="13" xfId="0" applyNumberFormat="1" applyBorder="1"/>
    <xf numFmtId="165" fontId="0" fillId="0" borderId="14" xfId="0" applyNumberFormat="1" applyBorder="1"/>
    <xf numFmtId="49" fontId="4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4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'P2 Cash Flow'!$D$1</c:f>
              <c:strCache>
                <c:ptCount val="1"/>
                <c:pt idx="0">
                  <c:v>Net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'P2 Cash Flow'!$A$2:$A$30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'P2 Cash Flow'!$D$2:$D$12</c:f>
              <c:numCache>
                <c:formatCode>"$"#,##0</c:formatCode>
                <c:ptCount val="11"/>
                <c:pt idx="0">
                  <c:v>4246000</c:v>
                </c:pt>
                <c:pt idx="1">
                  <c:v>4932100</c:v>
                </c:pt>
                <c:pt idx="2">
                  <c:v>5652005</c:v>
                </c:pt>
                <c:pt idx="3">
                  <c:v>6476106</c:v>
                </c:pt>
                <c:pt idx="4">
                  <c:v>7419031</c:v>
                </c:pt>
                <c:pt idx="5">
                  <c:v>8435394</c:v>
                </c:pt>
                <c:pt idx="6">
                  <c:v>9732252.4000000004</c:v>
                </c:pt>
                <c:pt idx="7">
                  <c:v>11144476.640000001</c:v>
                </c:pt>
                <c:pt idx="8">
                  <c:v>12760149.723999999</c:v>
                </c:pt>
                <c:pt idx="9">
                  <c:v>14608540.5284</c:v>
                </c:pt>
                <c:pt idx="10">
                  <c:v>16644988.517439999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7-4872-B2CD-06D2F1F97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344543"/>
        <c:axId val="1445345023"/>
      </c:barChart>
      <c:catAx>
        <c:axId val="144534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345023"/>
        <c:crosses val="autoZero"/>
        <c:auto val="1"/>
        <c:lblAlgn val="ctr"/>
        <c:lblOffset val="100"/>
        <c:noMultiLvlLbl val="0"/>
      </c:catAx>
      <c:valAx>
        <c:axId val="144534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34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12</xdr:row>
      <xdr:rowOff>140970</xdr:rowOff>
    </xdr:from>
    <xdr:to>
      <xdr:col>3</xdr:col>
      <xdr:colOff>1074420</xdr:colOff>
      <xdr:row>27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7090A6-ACD5-28BC-F2FA-101712B68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8D0F-C2BB-47AF-A671-63FA87EDAB1D}">
  <dimension ref="A1:J129"/>
  <sheetViews>
    <sheetView tabSelected="1" topLeftCell="A83" workbookViewId="0">
      <selection activeCell="G94" sqref="G94"/>
    </sheetView>
  </sheetViews>
  <sheetFormatPr defaultColWidth="9.140625" defaultRowHeight="14.45"/>
  <cols>
    <col min="1" max="1" width="7.5703125" style="9" bestFit="1" customWidth="1"/>
    <col min="2" max="2" width="41.140625" style="18" customWidth="1"/>
    <col min="3" max="3" width="26.85546875" style="18" customWidth="1"/>
    <col min="4" max="4" width="16.5703125" style="18" customWidth="1"/>
    <col min="5" max="5" width="12.140625" style="12" customWidth="1"/>
    <col min="6" max="6" width="9.28515625" style="27" customWidth="1"/>
    <col min="7" max="7" width="14.5703125" style="30" customWidth="1"/>
    <col min="8" max="8" width="11.42578125" style="30" customWidth="1"/>
    <col min="9" max="9" width="9.140625" style="5" bestFit="1" customWidth="1"/>
    <col min="10" max="16384" width="9.140625" style="5"/>
  </cols>
  <sheetData>
    <row r="1" spans="1:8" ht="31.15">
      <c r="A1" s="28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9" t="s">
        <v>5</v>
      </c>
      <c r="G1" s="32" t="s">
        <v>6</v>
      </c>
      <c r="H1" s="31" t="s">
        <v>7</v>
      </c>
    </row>
    <row r="2" spans="1:8" ht="15.6">
      <c r="A2" s="28">
        <v>1</v>
      </c>
      <c r="B2" s="13" t="s">
        <v>8</v>
      </c>
      <c r="C2" s="13"/>
      <c r="D2" s="13"/>
      <c r="E2" s="13"/>
      <c r="F2" s="19"/>
      <c r="G2" s="29"/>
      <c r="H2" s="34">
        <f>G3</f>
        <v>6450</v>
      </c>
    </row>
    <row r="3" spans="1:8" ht="15.6">
      <c r="A3" s="28">
        <v>1</v>
      </c>
      <c r="B3" s="13" t="s">
        <v>9</v>
      </c>
      <c r="C3" s="14"/>
      <c r="D3" s="14"/>
      <c r="E3" s="10"/>
      <c r="F3" s="20"/>
      <c r="G3" s="33">
        <f>SUM(G4:G6)</f>
        <v>6450</v>
      </c>
      <c r="H3" s="29"/>
    </row>
    <row r="4" spans="1:8" ht="15.6">
      <c r="A4" s="28">
        <v>1.1000000000000001</v>
      </c>
      <c r="B4" s="14" t="s">
        <v>10</v>
      </c>
      <c r="C4" s="14" t="s">
        <v>11</v>
      </c>
      <c r="D4" s="14" t="s">
        <v>12</v>
      </c>
      <c r="E4" s="10">
        <v>1</v>
      </c>
      <c r="F4" s="21">
        <v>10</v>
      </c>
      <c r="G4" s="29">
        <f>'Proposal 2 Resources'!B2*'Proposal 2 WBS'!F4</f>
        <v>1500</v>
      </c>
      <c r="H4" s="29"/>
    </row>
    <row r="5" spans="1:8" ht="28.9">
      <c r="A5" s="28">
        <v>1.2</v>
      </c>
      <c r="B5" s="14" t="s">
        <v>13</v>
      </c>
      <c r="C5" s="14" t="s">
        <v>14</v>
      </c>
      <c r="D5" s="14">
        <v>1.1000000000000001</v>
      </c>
      <c r="E5" s="10">
        <v>2</v>
      </c>
      <c r="F5" s="21">
        <v>15</v>
      </c>
      <c r="G5" s="29">
        <f>('Proposal 2 Resources'!B2+'Proposal 2 Resources'!B5)*'Proposal 2 WBS'!F5</f>
        <v>3450</v>
      </c>
      <c r="H5" s="29"/>
    </row>
    <row r="6" spans="1:8" ht="15.6">
      <c r="A6" s="28">
        <v>1.3</v>
      </c>
      <c r="B6" s="14" t="s">
        <v>15</v>
      </c>
      <c r="C6" s="14" t="s">
        <v>11</v>
      </c>
      <c r="D6" s="14" t="s">
        <v>16</v>
      </c>
      <c r="E6" s="10">
        <v>1</v>
      </c>
      <c r="F6" s="21">
        <v>10</v>
      </c>
      <c r="G6" s="29">
        <f>'Proposal 2 Resources'!B2*'Proposal 2 WBS'!F6</f>
        <v>1500</v>
      </c>
      <c r="H6" s="29"/>
    </row>
    <row r="7" spans="1:8">
      <c r="A7" s="28"/>
      <c r="B7" s="13" t="s">
        <v>17</v>
      </c>
      <c r="C7" s="14"/>
      <c r="D7" s="14"/>
      <c r="E7" s="10"/>
      <c r="F7" s="22"/>
      <c r="G7" s="29"/>
      <c r="H7" s="29"/>
    </row>
    <row r="8" spans="1:8" ht="15.6">
      <c r="A8" s="28"/>
      <c r="B8" s="14"/>
      <c r="C8" s="14"/>
      <c r="D8" s="14"/>
      <c r="E8" s="10"/>
      <c r="F8" s="21"/>
      <c r="G8" s="29"/>
      <c r="H8" s="34">
        <f>G9</f>
        <v>6600</v>
      </c>
    </row>
    <row r="9" spans="1:8" ht="15.6">
      <c r="A9" s="28">
        <v>2</v>
      </c>
      <c r="B9" s="13" t="s">
        <v>18</v>
      </c>
      <c r="C9" s="14"/>
      <c r="D9" s="14"/>
      <c r="E9" s="10"/>
      <c r="F9" s="20"/>
      <c r="G9" s="33">
        <f>SUM(G10:G12)</f>
        <v>6600</v>
      </c>
      <c r="H9" s="29"/>
    </row>
    <row r="10" spans="1:8" ht="28.9">
      <c r="A10" s="28">
        <v>2.1</v>
      </c>
      <c r="B10" s="14" t="s">
        <v>19</v>
      </c>
      <c r="C10" s="14" t="s">
        <v>20</v>
      </c>
      <c r="D10" s="14">
        <v>1.3</v>
      </c>
      <c r="E10" s="10">
        <v>2</v>
      </c>
      <c r="F10" s="21">
        <v>20</v>
      </c>
      <c r="G10" s="29">
        <f>'Proposal 2 Resources'!B5*F10</f>
        <v>1600</v>
      </c>
      <c r="H10" s="29"/>
    </row>
    <row r="11" spans="1:8" ht="15.6">
      <c r="A11" s="28">
        <v>2.2000000000000002</v>
      </c>
      <c r="B11" s="14" t="s">
        <v>21</v>
      </c>
      <c r="C11" s="14" t="s">
        <v>22</v>
      </c>
      <c r="D11" s="14">
        <v>2.1</v>
      </c>
      <c r="E11" s="10">
        <v>2</v>
      </c>
      <c r="F11" s="21">
        <v>15</v>
      </c>
      <c r="G11" s="29">
        <f>('Proposal 2 Resources'!B5+'Proposal 2 Resources'!B3)*'Proposal 2 WBS'!F11</f>
        <v>3000</v>
      </c>
      <c r="H11" s="29"/>
    </row>
    <row r="12" spans="1:8" ht="15.6">
      <c r="A12" s="28">
        <v>2.2999999999999998</v>
      </c>
      <c r="B12" s="14" t="s">
        <v>23</v>
      </c>
      <c r="C12" s="14" t="s">
        <v>24</v>
      </c>
      <c r="D12" s="14" t="s">
        <v>25</v>
      </c>
      <c r="E12" s="10">
        <v>1</v>
      </c>
      <c r="F12" s="21">
        <v>25</v>
      </c>
      <c r="G12" s="29">
        <f>'Proposal 2 Resources'!B5*'Proposal 2 WBS'!F12</f>
        <v>2000</v>
      </c>
      <c r="H12" s="29"/>
    </row>
    <row r="13" spans="1:8">
      <c r="A13" s="28"/>
      <c r="B13" s="13" t="s">
        <v>26</v>
      </c>
      <c r="C13" s="14"/>
      <c r="D13" s="14"/>
      <c r="E13" s="10"/>
      <c r="F13" s="22"/>
      <c r="G13" s="29"/>
      <c r="H13" s="29"/>
    </row>
    <row r="14" spans="1:8" ht="15.6">
      <c r="A14" s="28"/>
      <c r="B14" s="14"/>
      <c r="C14" s="14"/>
      <c r="D14" s="14"/>
      <c r="E14" s="10"/>
      <c r="F14" s="21"/>
      <c r="G14" s="29"/>
      <c r="H14" s="29"/>
    </row>
    <row r="15" spans="1:8" ht="15.6">
      <c r="A15" s="28">
        <v>3</v>
      </c>
      <c r="B15" s="13" t="s">
        <v>27</v>
      </c>
      <c r="C15" s="14"/>
      <c r="D15" s="14"/>
      <c r="E15" s="10"/>
      <c r="F15" s="21"/>
      <c r="G15" s="29"/>
      <c r="H15" s="34">
        <f>SUM(G16,G23,G28,G34,G39,G45,G51)</f>
        <v>54050</v>
      </c>
    </row>
    <row r="16" spans="1:8" ht="15.6">
      <c r="A16" s="28">
        <v>3.1</v>
      </c>
      <c r="B16" s="13" t="s">
        <v>28</v>
      </c>
      <c r="C16" s="14"/>
      <c r="D16" s="14"/>
      <c r="E16" s="10"/>
      <c r="F16" s="20"/>
      <c r="G16" s="33">
        <f>SUM(G17:G21)</f>
        <v>7400</v>
      </c>
      <c r="H16" s="29"/>
    </row>
    <row r="17" spans="1:8" ht="15.6">
      <c r="A17" s="28" t="s">
        <v>29</v>
      </c>
      <c r="B17" s="14" t="s">
        <v>30</v>
      </c>
      <c r="C17" s="14" t="s">
        <v>31</v>
      </c>
      <c r="D17" s="14">
        <v>2.1</v>
      </c>
      <c r="E17" s="10">
        <v>1</v>
      </c>
      <c r="F17" s="21">
        <v>15</v>
      </c>
      <c r="G17" s="29">
        <f>'Proposal 2 Resources'!B9*('Proposal 2 WBS'!F17)</f>
        <v>1125</v>
      </c>
      <c r="H17" s="29"/>
    </row>
    <row r="18" spans="1:8" ht="15.6">
      <c r="A18" s="28" t="s">
        <v>32</v>
      </c>
      <c r="B18" s="14" t="s">
        <v>33</v>
      </c>
      <c r="C18" s="14" t="s">
        <v>31</v>
      </c>
      <c r="D18" s="14" t="s">
        <v>29</v>
      </c>
      <c r="E18" s="10">
        <v>1</v>
      </c>
      <c r="F18" s="21">
        <v>15</v>
      </c>
      <c r="G18" s="29">
        <f>'Proposal 2 Resources'!B9*('Proposal 2 WBS'!F18)</f>
        <v>1125</v>
      </c>
      <c r="H18" s="29"/>
    </row>
    <row r="19" spans="1:8" ht="15.6">
      <c r="A19" s="28" t="s">
        <v>34</v>
      </c>
      <c r="B19" s="14" t="s">
        <v>35</v>
      </c>
      <c r="C19" s="14" t="s">
        <v>36</v>
      </c>
      <c r="D19" s="14" t="s">
        <v>37</v>
      </c>
      <c r="E19" s="10">
        <v>1</v>
      </c>
      <c r="F19" s="21">
        <v>20</v>
      </c>
      <c r="G19" s="29">
        <f>'Proposal 2 Resources'!B6*'Proposal 2 WBS'!F19</f>
        <v>1700</v>
      </c>
      <c r="H19" s="29"/>
    </row>
    <row r="20" spans="1:8" ht="15.6">
      <c r="A20" s="28" t="s">
        <v>38</v>
      </c>
      <c r="B20" s="14" t="s">
        <v>39</v>
      </c>
      <c r="C20" s="14" t="s">
        <v>36</v>
      </c>
      <c r="D20" s="14" t="s">
        <v>34</v>
      </c>
      <c r="E20" s="10">
        <v>1</v>
      </c>
      <c r="F20" s="21">
        <v>20</v>
      </c>
      <c r="G20" s="29">
        <f>'Proposal 2 Resources'!B6*'Proposal 2 WBS'!F20</f>
        <v>1700</v>
      </c>
      <c r="H20" s="29"/>
    </row>
    <row r="21" spans="1:8" ht="15.6">
      <c r="A21" s="28" t="s">
        <v>40</v>
      </c>
      <c r="B21" s="14" t="s">
        <v>41</v>
      </c>
      <c r="C21" s="14" t="s">
        <v>42</v>
      </c>
      <c r="D21" s="14" t="s">
        <v>43</v>
      </c>
      <c r="E21" s="10">
        <v>1</v>
      </c>
      <c r="F21" s="21">
        <v>25</v>
      </c>
      <c r="G21" s="29">
        <f>'Proposal 2 Resources'!B7*'Proposal 2 WBS'!F21</f>
        <v>1750</v>
      </c>
      <c r="H21" s="29"/>
    </row>
    <row r="22" spans="1:8" ht="15.6">
      <c r="A22" s="28"/>
      <c r="B22" s="14"/>
      <c r="C22" s="14"/>
      <c r="D22" s="14"/>
      <c r="E22" s="10"/>
      <c r="F22" s="21"/>
      <c r="G22" s="29"/>
      <c r="H22" s="29"/>
    </row>
    <row r="23" spans="1:8" ht="15.6">
      <c r="A23" s="28">
        <v>3.2</v>
      </c>
      <c r="B23" s="13" t="s">
        <v>44</v>
      </c>
      <c r="C23" s="14"/>
      <c r="D23" s="14"/>
      <c r="E23" s="10"/>
      <c r="F23" s="20"/>
      <c r="G23" s="33">
        <f>SUM(G24:G26)</f>
        <v>3850</v>
      </c>
      <c r="H23" s="29"/>
    </row>
    <row r="24" spans="1:8" ht="15.6">
      <c r="A24" s="28" t="s">
        <v>45</v>
      </c>
      <c r="B24" s="14" t="s">
        <v>46</v>
      </c>
      <c r="C24" s="14" t="s">
        <v>42</v>
      </c>
      <c r="D24" s="14" t="s">
        <v>47</v>
      </c>
      <c r="E24" s="10">
        <v>1</v>
      </c>
      <c r="F24" s="21">
        <v>15</v>
      </c>
      <c r="G24" s="29">
        <f>'Proposal 2 Resources'!B7*'Proposal 2 WBS'!F24</f>
        <v>1050</v>
      </c>
      <c r="H24" s="29"/>
    </row>
    <row r="25" spans="1:8" ht="15.6">
      <c r="A25" s="28" t="s">
        <v>48</v>
      </c>
      <c r="B25" s="14" t="s">
        <v>49</v>
      </c>
      <c r="C25" s="14" t="s">
        <v>42</v>
      </c>
      <c r="D25" s="14" t="s">
        <v>45</v>
      </c>
      <c r="E25" s="10">
        <v>1</v>
      </c>
      <c r="F25" s="21">
        <v>20</v>
      </c>
      <c r="G25" s="29">
        <f>'Proposal 2 Resources'!B7*'Proposal 2 WBS'!F25</f>
        <v>1400</v>
      </c>
      <c r="H25" s="29"/>
    </row>
    <row r="26" spans="1:8" ht="15.6">
      <c r="A26" s="28" t="s">
        <v>50</v>
      </c>
      <c r="B26" s="14" t="s">
        <v>51</v>
      </c>
      <c r="C26" s="14" t="s">
        <v>42</v>
      </c>
      <c r="D26" s="14" t="s">
        <v>52</v>
      </c>
      <c r="E26" s="10">
        <v>1</v>
      </c>
      <c r="F26" s="21">
        <v>20</v>
      </c>
      <c r="G26" s="29">
        <f>'Proposal 2 Resources'!B7*'Proposal 2 WBS'!F26</f>
        <v>1400</v>
      </c>
      <c r="H26" s="29"/>
    </row>
    <row r="27" spans="1:8" ht="15.6">
      <c r="A27" s="28"/>
      <c r="B27" s="14"/>
      <c r="C27" s="14"/>
      <c r="D27" s="14"/>
      <c r="E27" s="10"/>
      <c r="F27" s="21"/>
      <c r="G27" s="29"/>
      <c r="H27" s="29"/>
    </row>
    <row r="28" spans="1:8" ht="15.6">
      <c r="A28" s="28">
        <v>3.3</v>
      </c>
      <c r="B28" s="13" t="s">
        <v>53</v>
      </c>
      <c r="C28" s="14"/>
      <c r="D28" s="14"/>
      <c r="E28" s="10"/>
      <c r="F28" s="21"/>
      <c r="G28" s="33">
        <f>SUM(G29:G32)</f>
        <v>5450</v>
      </c>
      <c r="H28" s="29"/>
    </row>
    <row r="29" spans="1:8" ht="15.6">
      <c r="A29" s="28" t="s">
        <v>54</v>
      </c>
      <c r="B29" s="14" t="s">
        <v>55</v>
      </c>
      <c r="C29" s="14" t="s">
        <v>56</v>
      </c>
      <c r="D29" s="14" t="s">
        <v>50</v>
      </c>
      <c r="E29" s="10">
        <v>1</v>
      </c>
      <c r="F29" s="21">
        <v>15</v>
      </c>
      <c r="G29" s="29">
        <f>'Proposal 2 Resources'!B10*'Proposal 2 WBS'!F29</f>
        <v>1050</v>
      </c>
      <c r="H29" s="29"/>
    </row>
    <row r="30" spans="1:8" ht="15.6">
      <c r="A30" s="28" t="s">
        <v>57</v>
      </c>
      <c r="B30" s="14" t="s">
        <v>58</v>
      </c>
      <c r="C30" s="14" t="s">
        <v>59</v>
      </c>
      <c r="D30" s="14" t="s">
        <v>54</v>
      </c>
      <c r="E30" s="10">
        <v>1</v>
      </c>
      <c r="F30" s="21">
        <v>20</v>
      </c>
      <c r="G30" s="29">
        <f>'Proposal 2 Resources'!B10*'Proposal 2 WBS'!F30</f>
        <v>1400</v>
      </c>
      <c r="H30" s="29"/>
    </row>
    <row r="31" spans="1:8" ht="15.6">
      <c r="A31" s="28" t="s">
        <v>60</v>
      </c>
      <c r="B31" s="14" t="s">
        <v>61</v>
      </c>
      <c r="C31" s="14" t="s">
        <v>62</v>
      </c>
      <c r="D31" s="14" t="s">
        <v>63</v>
      </c>
      <c r="E31" s="10">
        <v>1</v>
      </c>
      <c r="F31" s="21">
        <v>15</v>
      </c>
      <c r="G31" s="29">
        <f>'Proposal 2 Resources'!B8*'Proposal 2 WBS'!F31</f>
        <v>1125</v>
      </c>
      <c r="H31" s="29"/>
    </row>
    <row r="32" spans="1:8" ht="15.6">
      <c r="A32" s="28" t="s">
        <v>64</v>
      </c>
      <c r="B32" s="14" t="s">
        <v>65</v>
      </c>
      <c r="C32" s="14" t="s">
        <v>62</v>
      </c>
      <c r="D32" s="14" t="s">
        <v>66</v>
      </c>
      <c r="E32" s="10">
        <v>1</v>
      </c>
      <c r="F32" s="21">
        <v>25</v>
      </c>
      <c r="G32" s="29">
        <f>'Proposal 2 Resources'!B8*'Proposal 2 WBS'!F32</f>
        <v>1875</v>
      </c>
      <c r="H32" s="29"/>
    </row>
    <row r="33" spans="1:8" ht="15.6">
      <c r="A33" s="28"/>
      <c r="B33" s="14"/>
      <c r="C33" s="14"/>
      <c r="D33" s="14"/>
      <c r="E33" s="10"/>
      <c r="F33" s="21"/>
      <c r="G33" s="29"/>
      <c r="H33" s="29"/>
    </row>
    <row r="34" spans="1:8" ht="15.6">
      <c r="A34" s="28">
        <v>3.4</v>
      </c>
      <c r="B34" s="13" t="s">
        <v>67</v>
      </c>
      <c r="C34" s="14"/>
      <c r="D34" s="14"/>
      <c r="E34" s="10"/>
      <c r="F34" s="21"/>
      <c r="G34" s="33">
        <f>SUM(G35:G37)</f>
        <v>10400</v>
      </c>
      <c r="H34" s="29"/>
    </row>
    <row r="35" spans="1:8" ht="15.6">
      <c r="A35" s="28" t="s">
        <v>68</v>
      </c>
      <c r="B35" s="14" t="s">
        <v>69</v>
      </c>
      <c r="C35" s="14" t="s">
        <v>31</v>
      </c>
      <c r="D35" s="14" t="s">
        <v>70</v>
      </c>
      <c r="E35" s="10">
        <v>1</v>
      </c>
      <c r="F35" s="21">
        <v>20</v>
      </c>
      <c r="G35" s="29">
        <f>'Proposal 2 Resources'!B9*'Proposal 2 WBS'!F35</f>
        <v>1500</v>
      </c>
      <c r="H35" s="29"/>
    </row>
    <row r="36" spans="1:8" ht="15.6">
      <c r="A36" s="28" t="s">
        <v>71</v>
      </c>
      <c r="B36" s="14" t="s">
        <v>72</v>
      </c>
      <c r="C36" s="14" t="s">
        <v>31</v>
      </c>
      <c r="D36" s="14" t="s">
        <v>68</v>
      </c>
      <c r="E36" s="10">
        <v>2</v>
      </c>
      <c r="F36" s="21">
        <v>50</v>
      </c>
      <c r="G36" s="29">
        <f>'Proposal 2 Resources'!B9*'Proposal 2 WBS'!F36*E36</f>
        <v>7500</v>
      </c>
      <c r="H36" s="29"/>
    </row>
    <row r="37" spans="1:8" ht="28.9">
      <c r="A37" s="28" t="s">
        <v>73</v>
      </c>
      <c r="B37" s="14" t="s">
        <v>74</v>
      </c>
      <c r="C37" s="14" t="s">
        <v>75</v>
      </c>
      <c r="D37" s="14" t="s">
        <v>76</v>
      </c>
      <c r="E37" s="10">
        <v>1</v>
      </c>
      <c r="F37" s="21">
        <v>20</v>
      </c>
      <c r="G37" s="29">
        <f>'Proposal 2 Resources'!B11*'Proposal 2 WBS'!F37</f>
        <v>1400</v>
      </c>
      <c r="H37" s="29"/>
    </row>
    <row r="38" spans="1:8" ht="15.6">
      <c r="A38" s="28"/>
      <c r="B38" s="14"/>
      <c r="C38" s="14"/>
      <c r="D38" s="14"/>
      <c r="E38" s="10"/>
      <c r="F38" s="21"/>
      <c r="G38" s="29"/>
      <c r="H38" s="29"/>
    </row>
    <row r="39" spans="1:8" ht="15.6">
      <c r="A39" s="28">
        <v>3.5</v>
      </c>
      <c r="B39" s="13" t="s">
        <v>77</v>
      </c>
      <c r="C39" s="14"/>
      <c r="D39" s="14" t="s">
        <v>78</v>
      </c>
      <c r="E39" s="10"/>
      <c r="F39" s="21"/>
      <c r="G39" s="33">
        <f>SUM(G40:G43)</f>
        <v>9400</v>
      </c>
      <c r="H39" s="29"/>
    </row>
    <row r="40" spans="1:8" ht="15.6">
      <c r="A40" s="28" t="s">
        <v>79</v>
      </c>
      <c r="B40" s="14" t="s">
        <v>80</v>
      </c>
      <c r="C40" s="14" t="s">
        <v>81</v>
      </c>
      <c r="D40" s="14" t="s">
        <v>71</v>
      </c>
      <c r="E40" s="10">
        <v>2</v>
      </c>
      <c r="F40" s="21">
        <v>30</v>
      </c>
      <c r="G40" s="29">
        <f>'Proposal 2 Resources'!B12*'Proposal 2 WBS'!F40*'Proposal 2 WBS'!E40</f>
        <v>5100</v>
      </c>
      <c r="H40" s="29"/>
    </row>
    <row r="41" spans="1:8" ht="15.6">
      <c r="A41" s="28" t="s">
        <v>82</v>
      </c>
      <c r="B41" s="14" t="s">
        <v>83</v>
      </c>
      <c r="C41" s="14" t="s">
        <v>84</v>
      </c>
      <c r="D41" s="14" t="s">
        <v>79</v>
      </c>
      <c r="E41" s="10">
        <v>1</v>
      </c>
      <c r="F41" s="21">
        <v>20</v>
      </c>
      <c r="G41" s="29">
        <f>'Proposal 2 Resources'!B13*'Proposal 2 WBS'!F41</f>
        <v>1300</v>
      </c>
      <c r="H41" s="29"/>
    </row>
    <row r="42" spans="1:8" ht="15.6">
      <c r="A42" s="28" t="s">
        <v>85</v>
      </c>
      <c r="B42" s="14" t="s">
        <v>86</v>
      </c>
      <c r="C42" s="14" t="s">
        <v>84</v>
      </c>
      <c r="D42" s="14" t="s">
        <v>87</v>
      </c>
      <c r="E42" s="10">
        <v>1</v>
      </c>
      <c r="F42" s="21">
        <v>20</v>
      </c>
      <c r="G42" s="29">
        <f>'Proposal 2 Resources'!B13*'Proposal 2 WBS'!F42</f>
        <v>1300</v>
      </c>
      <c r="H42" s="29"/>
    </row>
    <row r="43" spans="1:8" ht="15.6">
      <c r="A43" s="28" t="s">
        <v>88</v>
      </c>
      <c r="B43" s="14" t="s">
        <v>89</v>
      </c>
      <c r="C43" s="14" t="s">
        <v>81</v>
      </c>
      <c r="D43" s="14" t="s">
        <v>90</v>
      </c>
      <c r="E43" s="10">
        <v>1</v>
      </c>
      <c r="F43" s="21">
        <v>20</v>
      </c>
      <c r="G43" s="29">
        <f>'Proposal 2 Resources'!B12*'Proposal 2 WBS'!F43</f>
        <v>1700</v>
      </c>
      <c r="H43" s="29"/>
    </row>
    <row r="44" spans="1:8" ht="15.6">
      <c r="A44" s="28"/>
      <c r="B44" s="14"/>
      <c r="C44" s="14"/>
      <c r="D44" s="14"/>
      <c r="E44" s="10"/>
      <c r="F44" s="21"/>
      <c r="G44" s="29"/>
      <c r="H44" s="29"/>
    </row>
    <row r="45" spans="1:8" ht="15.6">
      <c r="A45" s="28">
        <v>3.6</v>
      </c>
      <c r="B45" s="13" t="s">
        <v>91</v>
      </c>
      <c r="C45" s="14"/>
      <c r="D45" s="14"/>
      <c r="E45" s="10"/>
      <c r="F45" s="21"/>
      <c r="G45" s="33">
        <f>SUM(G46:G49)</f>
        <v>9100</v>
      </c>
      <c r="H45" s="29"/>
    </row>
    <row r="46" spans="1:8" ht="15.6">
      <c r="A46" s="28" t="s">
        <v>92</v>
      </c>
      <c r="B46" s="14" t="s">
        <v>93</v>
      </c>
      <c r="C46" s="14" t="s">
        <v>62</v>
      </c>
      <c r="D46" s="14" t="s">
        <v>94</v>
      </c>
      <c r="E46" s="10">
        <v>2</v>
      </c>
      <c r="F46" s="21">
        <v>30</v>
      </c>
      <c r="G46" s="29">
        <f>'Proposal 2 Resources'!$B$8*'Proposal 2 WBS'!F46</f>
        <v>2250</v>
      </c>
      <c r="H46" s="29"/>
    </row>
    <row r="47" spans="1:8" ht="15.6">
      <c r="A47" s="28" t="s">
        <v>95</v>
      </c>
      <c r="B47" s="14" t="s">
        <v>96</v>
      </c>
      <c r="C47" s="14" t="s">
        <v>62</v>
      </c>
      <c r="D47" s="14" t="s">
        <v>92</v>
      </c>
      <c r="E47" s="10">
        <v>2</v>
      </c>
      <c r="F47" s="21">
        <v>30</v>
      </c>
      <c r="G47" s="29">
        <f>'Proposal 2 Resources'!$B$8*'Proposal 2 WBS'!F47</f>
        <v>2250</v>
      </c>
      <c r="H47" s="29"/>
    </row>
    <row r="48" spans="1:8" ht="15.6">
      <c r="A48" s="28" t="s">
        <v>97</v>
      </c>
      <c r="B48" s="14" t="s">
        <v>98</v>
      </c>
      <c r="C48" s="14" t="s">
        <v>62</v>
      </c>
      <c r="D48" s="14" t="s">
        <v>99</v>
      </c>
      <c r="E48" s="10">
        <v>2</v>
      </c>
      <c r="F48" s="21">
        <v>40</v>
      </c>
      <c r="G48" s="29">
        <f>'Proposal 2 Resources'!$B$8*'Proposal 2 WBS'!F48</f>
        <v>3000</v>
      </c>
      <c r="H48" s="29"/>
    </row>
    <row r="49" spans="1:8" ht="15.6">
      <c r="A49" s="28" t="s">
        <v>100</v>
      </c>
      <c r="B49" s="14" t="s">
        <v>101</v>
      </c>
      <c r="C49" s="14" t="s">
        <v>102</v>
      </c>
      <c r="D49" s="14" t="s">
        <v>97</v>
      </c>
      <c r="E49" s="10">
        <v>2</v>
      </c>
      <c r="F49" s="21">
        <v>20</v>
      </c>
      <c r="G49" s="29">
        <f>'Proposal 2 Resources'!B14*'Proposal 2 WBS'!F49</f>
        <v>1600</v>
      </c>
      <c r="H49" s="29"/>
    </row>
    <row r="50" spans="1:8" ht="15.6">
      <c r="A50" s="28"/>
      <c r="B50" s="14"/>
      <c r="C50" s="14"/>
      <c r="D50" s="14"/>
      <c r="E50" s="10"/>
      <c r="F50" s="21"/>
      <c r="G50" s="29"/>
      <c r="H50" s="29"/>
    </row>
    <row r="51" spans="1:8" ht="15.6">
      <c r="A51" s="28">
        <v>3.7</v>
      </c>
      <c r="B51" s="13" t="s">
        <v>103</v>
      </c>
      <c r="C51" s="14"/>
      <c r="D51" s="14"/>
      <c r="E51" s="10"/>
      <c r="F51" s="21"/>
      <c r="G51" s="33">
        <f>SUM(G52:G55)</f>
        <v>8450</v>
      </c>
      <c r="H51" s="29"/>
    </row>
    <row r="52" spans="1:8" ht="15.6">
      <c r="A52" s="28" t="s">
        <v>104</v>
      </c>
      <c r="B52" s="14" t="s">
        <v>105</v>
      </c>
      <c r="C52" s="14" t="s">
        <v>106</v>
      </c>
      <c r="D52" s="14">
        <v>2.1</v>
      </c>
      <c r="E52" s="10">
        <v>1</v>
      </c>
      <c r="F52" s="21">
        <v>20</v>
      </c>
      <c r="G52" s="29">
        <f>'Proposal 2 Resources'!B3*'Proposal 2 WBS'!F52</f>
        <v>2400</v>
      </c>
      <c r="H52" s="29"/>
    </row>
    <row r="53" spans="1:8" ht="15.6">
      <c r="A53" s="28" t="s">
        <v>107</v>
      </c>
      <c r="B53" s="14" t="s">
        <v>108</v>
      </c>
      <c r="C53" s="14" t="s">
        <v>106</v>
      </c>
      <c r="D53" s="14" t="s">
        <v>104</v>
      </c>
      <c r="E53" s="10">
        <v>1</v>
      </c>
      <c r="F53" s="21">
        <v>20</v>
      </c>
      <c r="G53" s="29">
        <f>'Proposal 2 Resources'!B3*'Proposal 2 WBS'!F53</f>
        <v>2400</v>
      </c>
      <c r="H53" s="29"/>
    </row>
    <row r="54" spans="1:8" ht="15.6">
      <c r="A54" s="28" t="s">
        <v>109</v>
      </c>
      <c r="B54" s="14" t="s">
        <v>110</v>
      </c>
      <c r="C54" s="14" t="s">
        <v>31</v>
      </c>
      <c r="D54" s="14" t="s">
        <v>107</v>
      </c>
      <c r="E54" s="10">
        <v>1</v>
      </c>
      <c r="F54" s="21">
        <v>30</v>
      </c>
      <c r="G54" s="29">
        <f>'Proposal 2 Resources'!B9*'Proposal 2 WBS'!F54</f>
        <v>2250</v>
      </c>
      <c r="H54" s="29"/>
    </row>
    <row r="55" spans="1:8" ht="15.6">
      <c r="A55" s="28" t="s">
        <v>111</v>
      </c>
      <c r="B55" s="14" t="s">
        <v>112</v>
      </c>
      <c r="C55" s="14" t="s">
        <v>59</v>
      </c>
      <c r="D55" s="14" t="s">
        <v>113</v>
      </c>
      <c r="E55" s="10">
        <v>1</v>
      </c>
      <c r="F55" s="21">
        <v>20</v>
      </c>
      <c r="G55" s="29">
        <f>'Proposal 2 Resources'!B10*'Proposal 2 WBS'!F55</f>
        <v>1400</v>
      </c>
      <c r="H55" s="29"/>
    </row>
    <row r="56" spans="1:8" ht="15.6">
      <c r="A56" s="28"/>
      <c r="B56" s="13" t="s">
        <v>114</v>
      </c>
      <c r="C56" s="14"/>
      <c r="D56" s="14"/>
      <c r="E56" s="10"/>
      <c r="F56" s="21"/>
      <c r="G56" s="29"/>
      <c r="H56" s="29"/>
    </row>
    <row r="57" spans="1:8" ht="15.6">
      <c r="A57" s="28"/>
      <c r="B57" s="14"/>
      <c r="C57" s="14"/>
      <c r="D57" s="14"/>
      <c r="E57" s="10"/>
      <c r="F57" s="21"/>
      <c r="G57" s="29"/>
      <c r="H57" s="29"/>
    </row>
    <row r="58" spans="1:8" ht="15.6">
      <c r="A58" s="28">
        <v>4</v>
      </c>
      <c r="B58" s="13" t="s">
        <v>115</v>
      </c>
      <c r="C58" s="14"/>
      <c r="D58" s="14"/>
      <c r="E58" s="10"/>
      <c r="F58" s="21"/>
      <c r="G58" s="29"/>
      <c r="H58" s="34">
        <f>SUM(G59,G63,G67)</f>
        <v>8100</v>
      </c>
    </row>
    <row r="59" spans="1:8" ht="15.6">
      <c r="A59" s="28">
        <v>4.0999999999999996</v>
      </c>
      <c r="B59" s="13" t="s">
        <v>116</v>
      </c>
      <c r="C59" s="14"/>
      <c r="D59" s="14"/>
      <c r="E59" s="10"/>
      <c r="F59" s="21"/>
      <c r="G59" s="33">
        <f>SUM(G60:G61)</f>
        <v>2200</v>
      </c>
      <c r="H59" s="29"/>
    </row>
    <row r="60" spans="1:8" ht="15.6">
      <c r="A60" s="28" t="s">
        <v>117</v>
      </c>
      <c r="B60" s="14" t="s">
        <v>118</v>
      </c>
      <c r="C60" s="14" t="s">
        <v>119</v>
      </c>
      <c r="D60" s="14" t="s">
        <v>120</v>
      </c>
      <c r="E60" s="10">
        <v>1</v>
      </c>
      <c r="F60" s="21">
        <v>10</v>
      </c>
      <c r="G60" s="29">
        <f>'Proposal 2 Resources'!B4*'Proposal 2 WBS'!F60</f>
        <v>700</v>
      </c>
      <c r="H60" s="29"/>
    </row>
    <row r="61" spans="1:8" ht="15.6">
      <c r="A61" s="28" t="s">
        <v>121</v>
      </c>
      <c r="B61" s="14" t="s">
        <v>122</v>
      </c>
      <c r="C61" s="14" t="s">
        <v>11</v>
      </c>
      <c r="D61" s="14" t="s">
        <v>117</v>
      </c>
      <c r="E61" s="10">
        <v>1</v>
      </c>
      <c r="F61" s="21">
        <v>10</v>
      </c>
      <c r="G61" s="29">
        <f>'Proposal 2 Resources'!B2*'Proposal 2 WBS'!F61</f>
        <v>1500</v>
      </c>
      <c r="H61" s="29"/>
    </row>
    <row r="62" spans="1:8" ht="15.6">
      <c r="A62" s="28"/>
      <c r="B62" s="14"/>
      <c r="C62" s="14"/>
      <c r="D62" s="14"/>
      <c r="E62" s="10"/>
      <c r="F62" s="21"/>
      <c r="G62" s="29"/>
      <c r="H62" s="29"/>
    </row>
    <row r="63" spans="1:8" ht="15.6">
      <c r="A63" s="28">
        <v>4.2</v>
      </c>
      <c r="B63" s="13" t="s">
        <v>123</v>
      </c>
      <c r="C63" s="14"/>
      <c r="D63" s="14"/>
      <c r="E63" s="10"/>
      <c r="F63" s="21"/>
      <c r="G63" s="33">
        <f>SUM(G64:G65)</f>
        <v>3800</v>
      </c>
      <c r="H63" s="29"/>
    </row>
    <row r="64" spans="1:8" ht="15.6">
      <c r="A64" s="28" t="s">
        <v>124</v>
      </c>
      <c r="B64" s="14" t="s">
        <v>125</v>
      </c>
      <c r="C64" s="14" t="s">
        <v>106</v>
      </c>
      <c r="D64" s="14">
        <v>2.2999999999999998</v>
      </c>
      <c r="E64" s="10">
        <v>1</v>
      </c>
      <c r="F64" s="21">
        <v>20</v>
      </c>
      <c r="G64" s="29">
        <f>'Proposal 2 Resources'!B3*'Proposal 2 WBS'!F64</f>
        <v>2400</v>
      </c>
      <c r="H64" s="29"/>
    </row>
    <row r="65" spans="1:8" ht="15.6">
      <c r="A65" s="28" t="s">
        <v>126</v>
      </c>
      <c r="B65" s="14" t="s">
        <v>127</v>
      </c>
      <c r="C65" s="14" t="s">
        <v>59</v>
      </c>
      <c r="D65" s="14">
        <v>2.2999999999999998</v>
      </c>
      <c r="E65" s="10">
        <v>1</v>
      </c>
      <c r="F65" s="21">
        <v>20</v>
      </c>
      <c r="G65" s="29">
        <f>'Proposal 2 Resources'!B10*'Proposal 2 WBS'!F65</f>
        <v>1400</v>
      </c>
      <c r="H65" s="29"/>
    </row>
    <row r="66" spans="1:8" ht="15.6">
      <c r="A66" s="28"/>
      <c r="B66" s="14"/>
      <c r="C66" s="14"/>
      <c r="D66" s="14"/>
      <c r="E66" s="10"/>
      <c r="F66" s="21"/>
      <c r="G66" s="29"/>
      <c r="H66" s="29"/>
    </row>
    <row r="67" spans="1:8" ht="15.6">
      <c r="A67" s="28">
        <v>4.3</v>
      </c>
      <c r="B67" s="13" t="s">
        <v>128</v>
      </c>
      <c r="C67" s="14"/>
      <c r="D67" s="14"/>
      <c r="E67" s="10"/>
      <c r="F67" s="21"/>
      <c r="G67" s="33">
        <f>SUM(G68:G69)</f>
        <v>2100</v>
      </c>
      <c r="H67" s="29"/>
    </row>
    <row r="68" spans="1:8" ht="15.6">
      <c r="A68" s="28" t="s">
        <v>129</v>
      </c>
      <c r="B68" s="14" t="s">
        <v>130</v>
      </c>
      <c r="C68" s="14" t="s">
        <v>119</v>
      </c>
      <c r="D68" s="14" t="s">
        <v>16</v>
      </c>
      <c r="E68" s="10">
        <v>1</v>
      </c>
      <c r="F68" s="21">
        <v>10</v>
      </c>
      <c r="G68" s="29">
        <f>'Proposal 2 Resources'!B4*'Proposal 2 WBS'!F68</f>
        <v>700</v>
      </c>
      <c r="H68" s="29"/>
    </row>
    <row r="69" spans="1:8" ht="15.6">
      <c r="A69" s="28" t="s">
        <v>131</v>
      </c>
      <c r="B69" s="14" t="s">
        <v>132</v>
      </c>
      <c r="C69" s="14" t="s">
        <v>119</v>
      </c>
      <c r="D69" s="14" t="s">
        <v>129</v>
      </c>
      <c r="E69" s="10">
        <v>1</v>
      </c>
      <c r="F69" s="21">
        <v>20</v>
      </c>
      <c r="G69" s="29">
        <f>'Proposal 2 Resources'!B4*'Proposal 2 WBS'!F69</f>
        <v>1400</v>
      </c>
      <c r="H69" s="29"/>
    </row>
    <row r="70" spans="1:8" ht="15.6">
      <c r="A70" s="28"/>
      <c r="B70" s="13" t="s">
        <v>133</v>
      </c>
      <c r="C70" s="14"/>
      <c r="D70" s="14"/>
      <c r="E70" s="10"/>
      <c r="F70" s="21"/>
      <c r="G70" s="29"/>
      <c r="H70" s="29"/>
    </row>
    <row r="71" spans="1:8" ht="15.6">
      <c r="A71" s="28"/>
      <c r="B71" s="14"/>
      <c r="C71" s="14"/>
      <c r="D71" s="14"/>
      <c r="E71" s="10"/>
      <c r="F71" s="21"/>
      <c r="G71" s="29"/>
      <c r="H71" s="34">
        <f>G72</f>
        <v>13500</v>
      </c>
    </row>
    <row r="72" spans="1:8" ht="15.6">
      <c r="A72" s="28">
        <v>5</v>
      </c>
      <c r="B72" s="13" t="s">
        <v>134</v>
      </c>
      <c r="C72" s="14"/>
      <c r="D72" s="14"/>
      <c r="E72" s="10"/>
      <c r="F72" s="21"/>
      <c r="G72" s="33">
        <f>SUM(G73:G77)</f>
        <v>13500</v>
      </c>
      <c r="H72" s="29"/>
    </row>
    <row r="73" spans="1:8" ht="15.6">
      <c r="A73" s="28">
        <v>5.0999999999999996</v>
      </c>
      <c r="B73" s="14" t="s">
        <v>135</v>
      </c>
      <c r="C73" s="14" t="s">
        <v>11</v>
      </c>
      <c r="D73" s="14">
        <v>4.3</v>
      </c>
      <c r="E73" s="10">
        <v>1</v>
      </c>
      <c r="F73" s="21">
        <v>15</v>
      </c>
      <c r="G73" s="29">
        <f>'Proposal 2 Resources'!$B$2*'Proposal 2 WBS'!F73</f>
        <v>2250</v>
      </c>
      <c r="H73" s="29"/>
    </row>
    <row r="74" spans="1:8" ht="15.6">
      <c r="A74" s="28">
        <v>5.2</v>
      </c>
      <c r="B74" s="14" t="s">
        <v>136</v>
      </c>
      <c r="C74" s="14" t="s">
        <v>11</v>
      </c>
      <c r="D74" s="14">
        <v>5.0999999999999996</v>
      </c>
      <c r="E74" s="10">
        <v>1</v>
      </c>
      <c r="F74" s="21">
        <v>20</v>
      </c>
      <c r="G74" s="29">
        <f>'Proposal 2 Resources'!$B$2*'Proposal 2 WBS'!F74</f>
        <v>3000</v>
      </c>
      <c r="H74" s="29"/>
    </row>
    <row r="75" spans="1:8" ht="15.6">
      <c r="A75" s="28">
        <v>5.3</v>
      </c>
      <c r="B75" s="14" t="s">
        <v>137</v>
      </c>
      <c r="C75" s="14" t="s">
        <v>11</v>
      </c>
      <c r="D75" s="14" t="s">
        <v>138</v>
      </c>
      <c r="E75" s="10">
        <v>1</v>
      </c>
      <c r="F75" s="21">
        <v>20</v>
      </c>
      <c r="G75" s="29">
        <f>'Proposal 2 Resources'!$B$2*'Proposal 2 WBS'!F75</f>
        <v>3000</v>
      </c>
      <c r="H75" s="29"/>
    </row>
    <row r="76" spans="1:8" ht="15.6">
      <c r="A76" s="28">
        <v>5.4</v>
      </c>
      <c r="B76" s="14" t="s">
        <v>139</v>
      </c>
      <c r="C76" s="14" t="s">
        <v>11</v>
      </c>
      <c r="D76" s="14">
        <v>2.1</v>
      </c>
      <c r="E76" s="10">
        <v>1</v>
      </c>
      <c r="F76" s="21">
        <v>15</v>
      </c>
      <c r="G76" s="29">
        <f>'Proposal 2 Resources'!$B$2*'Proposal 2 WBS'!F76</f>
        <v>2250</v>
      </c>
      <c r="H76" s="29"/>
    </row>
    <row r="77" spans="1:8" ht="28.9">
      <c r="A77" s="28">
        <v>5.5</v>
      </c>
      <c r="B77" s="14" t="s">
        <v>140</v>
      </c>
      <c r="C77" s="14" t="s">
        <v>11</v>
      </c>
      <c r="D77" s="14" t="s">
        <v>141</v>
      </c>
      <c r="E77" s="10">
        <v>1</v>
      </c>
      <c r="F77" s="21">
        <v>20</v>
      </c>
      <c r="G77" s="29">
        <f>'Proposal 2 Resources'!$B$2*'Proposal 2 WBS'!F77</f>
        <v>3000</v>
      </c>
      <c r="H77" s="29"/>
    </row>
    <row r="78" spans="1:8" ht="15.6">
      <c r="A78" s="28"/>
      <c r="B78" s="13" t="s">
        <v>142</v>
      </c>
      <c r="C78" s="14"/>
      <c r="D78" s="14"/>
      <c r="E78" s="10"/>
      <c r="F78" s="21"/>
      <c r="G78" s="29"/>
      <c r="H78" s="29"/>
    </row>
    <row r="79" spans="1:8" ht="15.6">
      <c r="A79" s="28"/>
      <c r="B79" s="14"/>
      <c r="C79" s="14"/>
      <c r="D79" s="14"/>
      <c r="E79" s="10"/>
      <c r="F79" s="21"/>
      <c r="G79" s="29"/>
      <c r="H79" s="34">
        <f>G80</f>
        <v>6300</v>
      </c>
    </row>
    <row r="80" spans="1:8" ht="15.6">
      <c r="A80" s="28">
        <v>6</v>
      </c>
      <c r="B80" s="13" t="s">
        <v>143</v>
      </c>
      <c r="C80" s="14"/>
      <c r="D80" s="14"/>
      <c r="E80" s="10"/>
      <c r="F80" s="21"/>
      <c r="G80" s="33">
        <f>SUM(G81:G85)</f>
        <v>6300</v>
      </c>
      <c r="H80" s="29"/>
    </row>
    <row r="81" spans="1:10" ht="15.6">
      <c r="A81" s="28">
        <v>6.1</v>
      </c>
      <c r="B81" s="14" t="s">
        <v>144</v>
      </c>
      <c r="C81" s="14" t="s">
        <v>59</v>
      </c>
      <c r="D81" s="14" t="s">
        <v>145</v>
      </c>
      <c r="E81" s="10">
        <v>1</v>
      </c>
      <c r="F81" s="21">
        <v>15</v>
      </c>
      <c r="G81" s="29">
        <f>'Proposal 2 Resources'!$B$10*'Proposal 2 WBS'!F81</f>
        <v>1050</v>
      </c>
      <c r="H81" s="29"/>
    </row>
    <row r="82" spans="1:10" ht="15.6">
      <c r="A82" s="28">
        <v>6.2</v>
      </c>
      <c r="B82" s="14" t="s">
        <v>146</v>
      </c>
      <c r="C82" s="14" t="s">
        <v>59</v>
      </c>
      <c r="D82" s="14">
        <v>6.1</v>
      </c>
      <c r="E82" s="10">
        <v>1</v>
      </c>
      <c r="F82" s="21">
        <v>20</v>
      </c>
      <c r="G82" s="29">
        <f>'Proposal 2 Resources'!$B$10*'Proposal 2 WBS'!F82</f>
        <v>1400</v>
      </c>
      <c r="H82" s="29"/>
    </row>
    <row r="83" spans="1:10" ht="15.6">
      <c r="A83" s="28">
        <v>6.3</v>
      </c>
      <c r="B83" s="14" t="s">
        <v>147</v>
      </c>
      <c r="C83" s="14" t="s">
        <v>59</v>
      </c>
      <c r="D83" s="14" t="s">
        <v>148</v>
      </c>
      <c r="E83" s="10">
        <v>1</v>
      </c>
      <c r="F83" s="21">
        <v>20</v>
      </c>
      <c r="G83" s="29">
        <f>'Proposal 2 Resources'!$B$10*'Proposal 2 WBS'!F83</f>
        <v>1400</v>
      </c>
      <c r="H83" s="29"/>
    </row>
    <row r="84" spans="1:10" ht="15.6">
      <c r="A84" s="28">
        <v>6.4</v>
      </c>
      <c r="B84" s="14" t="s">
        <v>149</v>
      </c>
      <c r="C84" s="14" t="s">
        <v>59</v>
      </c>
      <c r="D84" s="14" t="s">
        <v>150</v>
      </c>
      <c r="E84" s="10">
        <v>1</v>
      </c>
      <c r="F84" s="21">
        <v>20</v>
      </c>
      <c r="G84" s="29">
        <f>'Proposal 2 Resources'!$B$10*'Proposal 2 WBS'!F84</f>
        <v>1400</v>
      </c>
      <c r="H84" s="29"/>
    </row>
    <row r="85" spans="1:10" ht="15.6">
      <c r="A85" s="28">
        <v>6.5</v>
      </c>
      <c r="B85" s="14" t="s">
        <v>151</v>
      </c>
      <c r="C85" s="14" t="s">
        <v>59</v>
      </c>
      <c r="D85" s="14" t="s">
        <v>152</v>
      </c>
      <c r="E85" s="10">
        <v>1</v>
      </c>
      <c r="F85" s="21">
        <v>15</v>
      </c>
      <c r="G85" s="29">
        <f>'Proposal 2 Resources'!$B$10*'Proposal 2 WBS'!F85</f>
        <v>1050</v>
      </c>
      <c r="H85" s="29"/>
    </row>
    <row r="86" spans="1:10" ht="15.6">
      <c r="A86" s="28"/>
      <c r="B86" s="13" t="s">
        <v>153</v>
      </c>
      <c r="C86" s="14"/>
      <c r="D86" s="14"/>
      <c r="E86" s="10"/>
      <c r="F86" s="21"/>
      <c r="G86" s="29"/>
      <c r="H86" s="29"/>
      <c r="J86" s="6"/>
    </row>
    <row r="87" spans="1:10" ht="15.6">
      <c r="A87" s="28"/>
      <c r="B87" s="14"/>
      <c r="C87" s="14"/>
      <c r="D87" s="14"/>
      <c r="E87" s="10"/>
      <c r="F87" s="21"/>
      <c r="G87" s="29"/>
      <c r="H87" s="34">
        <f>G88</f>
        <v>10200</v>
      </c>
    </row>
    <row r="88" spans="1:10" ht="28.9">
      <c r="A88" s="28">
        <v>7</v>
      </c>
      <c r="B88" s="13" t="s">
        <v>154</v>
      </c>
      <c r="C88" s="14"/>
      <c r="D88" s="14"/>
      <c r="E88" s="10"/>
      <c r="F88" s="21"/>
      <c r="G88" s="33">
        <f>SUM(G89:G92)</f>
        <v>10200</v>
      </c>
      <c r="H88" s="29"/>
    </row>
    <row r="89" spans="1:10" ht="15.6">
      <c r="A89" s="28">
        <v>7.1</v>
      </c>
      <c r="B89" s="14" t="s">
        <v>155</v>
      </c>
      <c r="C89" s="14" t="s">
        <v>156</v>
      </c>
      <c r="D89" s="14">
        <v>6</v>
      </c>
      <c r="E89" s="10">
        <v>2</v>
      </c>
      <c r="F89" s="21">
        <v>20</v>
      </c>
      <c r="G89" s="29">
        <f>'Proposal 2 Resources'!B15*'Proposal 2 WBS'!F89</f>
        <v>2000</v>
      </c>
      <c r="H89" s="29"/>
    </row>
    <row r="90" spans="1:10" ht="15.6">
      <c r="A90" s="28">
        <v>7.2</v>
      </c>
      <c r="B90" s="14" t="s">
        <v>157</v>
      </c>
      <c r="C90" s="14" t="s">
        <v>156</v>
      </c>
      <c r="D90" s="14">
        <v>7.1</v>
      </c>
      <c r="E90" s="10">
        <v>2</v>
      </c>
      <c r="F90" s="21">
        <v>30</v>
      </c>
      <c r="G90" s="29">
        <f>'Proposal 2 Resources'!B15*'Proposal 2 WBS'!F90</f>
        <v>3000</v>
      </c>
      <c r="H90" s="29"/>
    </row>
    <row r="91" spans="1:10" ht="15.6">
      <c r="A91" s="28">
        <v>7.3</v>
      </c>
      <c r="B91" s="14" t="s">
        <v>158</v>
      </c>
      <c r="C91" s="14" t="s">
        <v>11</v>
      </c>
      <c r="D91" s="14" t="s">
        <v>159</v>
      </c>
      <c r="E91" s="10">
        <v>1</v>
      </c>
      <c r="F91" s="21">
        <v>20</v>
      </c>
      <c r="G91" s="29">
        <f>'Proposal 2 Resources'!$B$2*'Proposal 2 WBS'!F91</f>
        <v>3000</v>
      </c>
      <c r="H91" s="29"/>
    </row>
    <row r="92" spans="1:10" ht="15.6">
      <c r="A92" s="28">
        <v>7.4</v>
      </c>
      <c r="B92" s="14" t="s">
        <v>160</v>
      </c>
      <c r="C92" s="14" t="s">
        <v>161</v>
      </c>
      <c r="D92" s="14">
        <v>7.3</v>
      </c>
      <c r="E92" s="10">
        <v>2</v>
      </c>
      <c r="F92" s="21">
        <v>40</v>
      </c>
      <c r="G92" s="29">
        <f>'Proposal 2 Resources'!B16*'Proposal 2 WBS'!F92</f>
        <v>2200</v>
      </c>
      <c r="H92" s="29"/>
    </row>
    <row r="93" spans="1:10">
      <c r="A93" s="28"/>
      <c r="B93" s="13" t="s">
        <v>162</v>
      </c>
      <c r="C93" s="14"/>
      <c r="D93" s="14"/>
      <c r="E93" s="10"/>
      <c r="F93" s="23"/>
      <c r="G93" s="29"/>
      <c r="H93" s="29"/>
    </row>
    <row r="94" spans="1:10">
      <c r="A94" s="28"/>
      <c r="B94" s="14"/>
      <c r="C94" s="14"/>
      <c r="D94" s="14"/>
      <c r="E94" s="10"/>
      <c r="F94" s="22"/>
      <c r="G94" s="29"/>
      <c r="H94" s="29"/>
    </row>
    <row r="95" spans="1:10" ht="18">
      <c r="A95" s="28">
        <v>8</v>
      </c>
      <c r="B95" s="13" t="s">
        <v>163</v>
      </c>
      <c r="C95" s="14"/>
      <c r="D95" s="14"/>
      <c r="E95" s="10"/>
      <c r="F95" s="24"/>
      <c r="G95" s="29"/>
      <c r="H95" s="29"/>
    </row>
    <row r="96" spans="1:10" ht="18">
      <c r="A96" s="90" t="s">
        <v>164</v>
      </c>
      <c r="B96" s="90"/>
      <c r="C96" s="90"/>
      <c r="D96" s="90"/>
      <c r="E96" s="90"/>
      <c r="F96" s="25">
        <f>SUM(F2:F92)</f>
        <v>1090</v>
      </c>
      <c r="G96" s="29"/>
      <c r="H96" s="29"/>
    </row>
    <row r="97" spans="1:8" ht="18">
      <c r="A97" s="83" t="s">
        <v>165</v>
      </c>
      <c r="B97" s="83"/>
      <c r="C97" s="83"/>
      <c r="D97" s="83"/>
      <c r="E97" s="83"/>
      <c r="F97" s="83"/>
      <c r="G97" s="83"/>
      <c r="H97" s="34">
        <f>SUM(H2:H94)</f>
        <v>105200</v>
      </c>
    </row>
    <row r="98" spans="1:8">
      <c r="B98" s="15"/>
      <c r="E98" s="11"/>
      <c r="F98" s="26"/>
    </row>
    <row r="99" spans="1:8">
      <c r="B99" s="16"/>
      <c r="E99" s="11"/>
      <c r="F99" s="26"/>
    </row>
    <row r="100" spans="1:8">
      <c r="B100" s="15"/>
      <c r="E100" s="11"/>
      <c r="F100" s="26"/>
    </row>
    <row r="101" spans="1:8">
      <c r="B101" s="15"/>
      <c r="E101" s="11"/>
      <c r="F101" s="26"/>
    </row>
    <row r="102" spans="1:8">
      <c r="B102" s="17"/>
      <c r="E102" s="11"/>
      <c r="F102" s="26"/>
    </row>
    <row r="103" spans="1:8">
      <c r="B103" s="15"/>
      <c r="E103" s="11"/>
      <c r="F103" s="26"/>
    </row>
    <row r="104" spans="1:8">
      <c r="B104" s="17"/>
      <c r="E104" s="11"/>
      <c r="F104" s="26"/>
    </row>
    <row r="105" spans="1:8">
      <c r="B105" s="17"/>
      <c r="E105" s="11"/>
      <c r="F105" s="26"/>
    </row>
    <row r="106" spans="1:8">
      <c r="B106" s="17"/>
      <c r="E106" s="11"/>
      <c r="F106" s="26"/>
    </row>
    <row r="107" spans="1:8">
      <c r="B107" s="17"/>
      <c r="E107" s="11"/>
      <c r="F107" s="26"/>
    </row>
    <row r="108" spans="1:8">
      <c r="B108" s="17"/>
      <c r="E108" s="11"/>
      <c r="F108" s="26"/>
    </row>
    <row r="109" spans="1:8">
      <c r="B109" s="17"/>
      <c r="E109" s="11"/>
      <c r="F109" s="26"/>
    </row>
    <row r="110" spans="1:8">
      <c r="B110" s="17"/>
      <c r="E110" s="11"/>
      <c r="F110" s="26"/>
    </row>
    <row r="111" spans="1:8">
      <c r="B111" s="17"/>
      <c r="E111" s="11"/>
      <c r="F111" s="26"/>
    </row>
    <row r="112" spans="1:8">
      <c r="B112" s="17"/>
      <c r="E112" s="11"/>
      <c r="F112" s="26"/>
    </row>
    <row r="113" spans="2:6">
      <c r="B113" s="17"/>
      <c r="E113" s="11"/>
      <c r="F113" s="26"/>
    </row>
    <row r="114" spans="2:6">
      <c r="B114" s="17"/>
      <c r="E114" s="11"/>
      <c r="F114" s="26"/>
    </row>
    <row r="115" spans="2:6">
      <c r="B115" s="15"/>
      <c r="E115" s="11"/>
      <c r="F115" s="26"/>
    </row>
    <row r="116" spans="2:6">
      <c r="B116" s="17"/>
      <c r="E116" s="11"/>
      <c r="F116" s="26"/>
    </row>
    <row r="117" spans="2:6">
      <c r="B117" s="17"/>
      <c r="E117" s="11"/>
      <c r="F117" s="26"/>
    </row>
    <row r="118" spans="2:6">
      <c r="B118" s="17"/>
      <c r="E118" s="11"/>
      <c r="F118" s="26"/>
    </row>
    <row r="119" spans="2:6">
      <c r="B119" s="17"/>
      <c r="E119" s="11"/>
      <c r="F119" s="26"/>
    </row>
    <row r="120" spans="2:6">
      <c r="B120" s="17"/>
      <c r="E120" s="11"/>
      <c r="F120" s="26"/>
    </row>
    <row r="121" spans="2:6">
      <c r="B121" s="17"/>
      <c r="E121" s="11"/>
      <c r="F121" s="26"/>
    </row>
    <row r="122" spans="2:6">
      <c r="B122" s="17"/>
      <c r="E122" s="11"/>
      <c r="F122" s="26"/>
    </row>
    <row r="123" spans="2:6">
      <c r="B123" s="17"/>
      <c r="E123" s="11"/>
    </row>
    <row r="124" spans="2:6">
      <c r="B124" s="17"/>
    </row>
    <row r="125" spans="2:6">
      <c r="B125" s="17"/>
    </row>
    <row r="126" spans="2:6">
      <c r="B126" s="17"/>
    </row>
    <row r="127" spans="2:6">
      <c r="B127" s="17"/>
    </row>
    <row r="129" spans="2:2">
      <c r="B129" s="15"/>
    </row>
  </sheetData>
  <mergeCells count="2">
    <mergeCell ref="A97:G97"/>
    <mergeCell ref="A96:E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F307-865B-4A76-9B01-B669D05E4C73}">
  <dimension ref="A1:C16"/>
  <sheetViews>
    <sheetView workbookViewId="0">
      <selection activeCell="I15" sqref="I15"/>
    </sheetView>
  </sheetViews>
  <sheetFormatPr defaultRowHeight="14.45"/>
  <cols>
    <col min="1" max="1" width="24.7109375" customWidth="1"/>
    <col min="2" max="2" width="12.5703125" customWidth="1"/>
    <col min="3" max="3" width="15.5703125" customWidth="1"/>
  </cols>
  <sheetData>
    <row r="1" spans="1:3">
      <c r="A1" s="1" t="s">
        <v>2</v>
      </c>
      <c r="B1" s="1" t="s">
        <v>166</v>
      </c>
      <c r="C1" s="2" t="s">
        <v>167</v>
      </c>
    </row>
    <row r="2" spans="1:3">
      <c r="A2" s="3" t="s">
        <v>11</v>
      </c>
      <c r="B2" s="8">
        <v>150</v>
      </c>
      <c r="C2" s="4">
        <f>B2*40*52</f>
        <v>312000</v>
      </c>
    </row>
    <row r="3" spans="1:3">
      <c r="A3" s="3" t="s">
        <v>106</v>
      </c>
      <c r="B3" s="4">
        <v>120</v>
      </c>
      <c r="C3" s="4">
        <f t="shared" ref="C3:C16" si="0">B3*40*52</f>
        <v>249600</v>
      </c>
    </row>
    <row r="4" spans="1:3">
      <c r="A4" s="3" t="s">
        <v>119</v>
      </c>
      <c r="B4" s="4">
        <v>70</v>
      </c>
      <c r="C4" s="4">
        <f t="shared" si="0"/>
        <v>145600</v>
      </c>
    </row>
    <row r="5" spans="1:3">
      <c r="A5" s="3" t="s">
        <v>168</v>
      </c>
      <c r="B5" s="4">
        <v>80</v>
      </c>
      <c r="C5" s="4">
        <f t="shared" si="0"/>
        <v>166400</v>
      </c>
    </row>
    <row r="6" spans="1:3">
      <c r="A6" s="3" t="s">
        <v>36</v>
      </c>
      <c r="B6" s="4">
        <v>85</v>
      </c>
      <c r="C6" s="4">
        <f t="shared" si="0"/>
        <v>176800</v>
      </c>
    </row>
    <row r="7" spans="1:3">
      <c r="A7" s="3" t="s">
        <v>42</v>
      </c>
      <c r="B7" s="4">
        <v>70</v>
      </c>
      <c r="C7" s="4">
        <f t="shared" si="0"/>
        <v>145600</v>
      </c>
    </row>
    <row r="8" spans="1:3">
      <c r="A8" s="3" t="s">
        <v>62</v>
      </c>
      <c r="B8" s="4">
        <v>75</v>
      </c>
      <c r="C8" s="4">
        <f t="shared" si="0"/>
        <v>156000</v>
      </c>
    </row>
    <row r="9" spans="1:3">
      <c r="A9" s="3" t="s">
        <v>169</v>
      </c>
      <c r="B9" s="4">
        <v>75</v>
      </c>
      <c r="C9" s="4">
        <f t="shared" si="0"/>
        <v>156000</v>
      </c>
    </row>
    <row r="10" spans="1:3">
      <c r="A10" s="3" t="s">
        <v>59</v>
      </c>
      <c r="B10" s="4">
        <v>70</v>
      </c>
      <c r="C10" s="4">
        <f t="shared" si="0"/>
        <v>145600</v>
      </c>
    </row>
    <row r="11" spans="1:3">
      <c r="A11" s="3" t="s">
        <v>75</v>
      </c>
      <c r="B11" s="4">
        <v>70</v>
      </c>
      <c r="C11" s="4">
        <f t="shared" si="0"/>
        <v>145600</v>
      </c>
    </row>
    <row r="12" spans="1:3">
      <c r="A12" s="3" t="s">
        <v>170</v>
      </c>
      <c r="B12" s="4">
        <v>85</v>
      </c>
      <c r="C12" s="4">
        <f t="shared" si="0"/>
        <v>176800</v>
      </c>
    </row>
    <row r="13" spans="1:3">
      <c r="A13" s="3" t="s">
        <v>84</v>
      </c>
      <c r="B13" s="4">
        <v>65</v>
      </c>
      <c r="C13" s="4">
        <f t="shared" si="0"/>
        <v>135200</v>
      </c>
    </row>
    <row r="14" spans="1:3">
      <c r="A14" s="3" t="s">
        <v>102</v>
      </c>
      <c r="B14" s="4">
        <v>80</v>
      </c>
      <c r="C14" s="4">
        <f t="shared" si="0"/>
        <v>166400</v>
      </c>
    </row>
    <row r="15" spans="1:3">
      <c r="A15" s="3" t="s">
        <v>156</v>
      </c>
      <c r="B15" s="4">
        <v>100</v>
      </c>
      <c r="C15" s="4">
        <f t="shared" si="0"/>
        <v>208000</v>
      </c>
    </row>
    <row r="16" spans="1:3">
      <c r="A16" s="3" t="s">
        <v>161</v>
      </c>
      <c r="B16" s="4">
        <v>55</v>
      </c>
      <c r="C16" s="4">
        <f t="shared" si="0"/>
        <v>114400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7212-DAFD-4ED2-BB8E-D7C74FE7E61C}">
  <dimension ref="A1:D16"/>
  <sheetViews>
    <sheetView showGridLines="0" workbookViewId="0">
      <selection activeCell="A15" sqref="A15"/>
    </sheetView>
  </sheetViews>
  <sheetFormatPr defaultRowHeight="14.45"/>
  <cols>
    <col min="1" max="1" width="31.28515625" customWidth="1"/>
    <col min="2" max="2" width="18.28515625" customWidth="1"/>
    <col min="3" max="3" width="26.140625" customWidth="1"/>
    <col min="4" max="4" width="18.7109375" customWidth="1"/>
  </cols>
  <sheetData>
    <row r="1" spans="1:4">
      <c r="A1" t="s">
        <v>171</v>
      </c>
      <c r="B1" s="36">
        <v>246000</v>
      </c>
    </row>
    <row r="2" spans="1:4">
      <c r="A2" t="s">
        <v>172</v>
      </c>
      <c r="B2" s="37">
        <v>0.08</v>
      </c>
    </row>
    <row r="3" spans="1:4">
      <c r="A3" t="s">
        <v>173</v>
      </c>
      <c r="B3">
        <v>5</v>
      </c>
    </row>
    <row r="5" spans="1:4">
      <c r="A5" t="s">
        <v>174</v>
      </c>
      <c r="B5" t="s">
        <v>175</v>
      </c>
      <c r="C5" t="s">
        <v>176</v>
      </c>
      <c r="D5" t="s">
        <v>177</v>
      </c>
    </row>
    <row r="6" spans="1:4">
      <c r="A6" s="38">
        <v>1</v>
      </c>
      <c r="B6" s="35">
        <f>PMT($B$2, $B$3, -$B$1)</f>
        <v>61612.287823441802</v>
      </c>
      <c r="C6" s="35">
        <f>PPMT($B$2, 1, $B$3, -$B$1)</f>
        <v>41932.287823441802</v>
      </c>
      <c r="D6" s="35">
        <f>IPMT($B$2, 1, $B$3, -105200)</f>
        <v>8416</v>
      </c>
    </row>
    <row r="7" spans="1:4">
      <c r="A7" s="38">
        <v>2</v>
      </c>
      <c r="B7" s="35">
        <f t="shared" ref="B7:B15" si="0">PMT($B$2, $B$3, -$B$1)</f>
        <v>61612.287823441802</v>
      </c>
      <c r="C7" s="35">
        <f>PPMT($B$2, 2, $B$3, -$B$1)</f>
        <v>45286.870849317143</v>
      </c>
      <c r="D7" s="35">
        <f>IPMT($B$2, 2, $B$3, -105200)</f>
        <v>6981.4384783655023</v>
      </c>
    </row>
    <row r="8" spans="1:4">
      <c r="A8" s="38">
        <v>3</v>
      </c>
      <c r="B8" s="35">
        <f t="shared" si="0"/>
        <v>61612.287823441802</v>
      </c>
      <c r="C8" s="35">
        <f>PPMT($B$2, 3, $B$3, -$B$1)</f>
        <v>48909.820517262517</v>
      </c>
      <c r="D8" s="35">
        <f>IPMT($B$2,3, $B$3, -105200)</f>
        <v>5432.1120350002466</v>
      </c>
    </row>
    <row r="9" spans="1:4">
      <c r="A9" s="38">
        <v>4</v>
      </c>
      <c r="B9" s="35">
        <f t="shared" si="0"/>
        <v>61612.287823441802</v>
      </c>
      <c r="C9" s="35">
        <f>PPMT($B$2, 4, $B$3, -$B$1)</f>
        <v>52822.606158643517</v>
      </c>
      <c r="D9" s="35">
        <f>IPMT($B$2, 4, $B$3, -105200)</f>
        <v>3758.8394761657692</v>
      </c>
    </row>
    <row r="10" spans="1:4">
      <c r="A10" s="38">
        <v>5</v>
      </c>
      <c r="B10" s="35">
        <f t="shared" si="0"/>
        <v>61612.287823441802</v>
      </c>
      <c r="C10" s="35">
        <f>PPMT($B$2, 5, $B$3, -$B$1)</f>
        <v>57048.414651335006</v>
      </c>
      <c r="D10" s="35">
        <f>IPMT($B$2,5, $B$3, -105200)</f>
        <v>1951.705112624534</v>
      </c>
    </row>
    <row r="11" spans="1:4">
      <c r="A11" s="38">
        <v>6</v>
      </c>
      <c r="B11" s="35">
        <f t="shared" si="0"/>
        <v>61612.287823441802</v>
      </c>
      <c r="C11" s="35">
        <f t="shared" ref="C11" si="1">PPMT($B$2, 3, $B$3, -$B$1)</f>
        <v>48909.820517262517</v>
      </c>
      <c r="D11" s="35">
        <f t="shared" ref="D11" si="2">IPMT($B$2,3, $B$3, -105200)</f>
        <v>5432.1120350002466</v>
      </c>
    </row>
    <row r="12" spans="1:4">
      <c r="A12" s="38">
        <v>7</v>
      </c>
      <c r="B12" s="35">
        <f t="shared" si="0"/>
        <v>61612.287823441802</v>
      </c>
      <c r="C12" s="35">
        <f t="shared" ref="C12" si="3">PPMT($B$2, 4, $B$3, -$B$1)</f>
        <v>52822.606158643517</v>
      </c>
      <c r="D12" s="35">
        <f t="shared" ref="D12" si="4">IPMT($B$2, 4, $B$3, -105200)</f>
        <v>3758.8394761657692</v>
      </c>
    </row>
    <row r="13" spans="1:4">
      <c r="A13" s="38">
        <v>8</v>
      </c>
      <c r="B13" s="35">
        <f t="shared" si="0"/>
        <v>61612.287823441802</v>
      </c>
      <c r="C13" s="35">
        <f t="shared" ref="C13" si="5">PPMT($B$2, 5, $B$3, -$B$1)</f>
        <v>57048.414651335006</v>
      </c>
      <c r="D13" s="35">
        <f t="shared" ref="D13" si="6">IPMT($B$2,5, $B$3, -105200)</f>
        <v>1951.705112624534</v>
      </c>
    </row>
    <row r="14" spans="1:4">
      <c r="A14" s="38">
        <v>9</v>
      </c>
      <c r="B14" s="35">
        <f t="shared" si="0"/>
        <v>61612.287823441802</v>
      </c>
      <c r="C14" s="35">
        <f t="shared" ref="C14" si="7">PPMT($B$2, 3, $B$3, -$B$1)</f>
        <v>48909.820517262517</v>
      </c>
      <c r="D14" s="35">
        <f t="shared" ref="D14" si="8">IPMT($B$2,3, $B$3, -105200)</f>
        <v>5432.1120350002466</v>
      </c>
    </row>
    <row r="15" spans="1:4">
      <c r="A15" s="38">
        <v>10</v>
      </c>
      <c r="B15" s="35">
        <f t="shared" si="0"/>
        <v>61612.287823441802</v>
      </c>
      <c r="C15" s="35">
        <f t="shared" ref="C15" si="9">PPMT($B$2, 4, $B$3, -$B$1)</f>
        <v>52822.606158643517</v>
      </c>
      <c r="D15" s="35">
        <f t="shared" ref="D15" si="10">IPMT($B$2, 4, $B$3, -105200)</f>
        <v>3758.8394761657692</v>
      </c>
    </row>
    <row r="16" spans="1:4">
      <c r="A16" s="38"/>
      <c r="B16" s="35"/>
      <c r="C16" s="35"/>
      <c r="D16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F94B-5734-495D-91AA-8D91A5B37E64}">
  <dimension ref="A1:O15"/>
  <sheetViews>
    <sheetView workbookViewId="0">
      <selection activeCell="E19" sqref="E19"/>
    </sheetView>
  </sheetViews>
  <sheetFormatPr defaultRowHeight="15" customHeight="1"/>
  <cols>
    <col min="1" max="1" width="18" customWidth="1"/>
    <col min="2" max="2" width="17.85546875" customWidth="1"/>
    <col min="3" max="3" width="25.140625" bestFit="1" customWidth="1"/>
    <col min="4" max="4" width="25.140625" customWidth="1"/>
    <col min="5" max="5" width="17.5703125" customWidth="1"/>
    <col min="6" max="6" width="11.7109375" bestFit="1" customWidth="1"/>
    <col min="7" max="11" width="9.140625" bestFit="1" customWidth="1"/>
    <col min="12" max="12" width="10.7109375" bestFit="1" customWidth="1"/>
    <col min="13" max="13" width="13.7109375" customWidth="1"/>
    <col min="14" max="14" width="16.85546875" customWidth="1"/>
    <col min="15" max="15" width="16.140625" customWidth="1"/>
    <col min="16" max="16" width="9.140625" bestFit="1" customWidth="1"/>
    <col min="17" max="17" width="16.140625" customWidth="1"/>
    <col min="18" max="18" width="11.7109375" customWidth="1"/>
    <col min="19" max="19" width="14.5703125" customWidth="1"/>
    <col min="20" max="20" width="9.140625" bestFit="1" customWidth="1"/>
  </cols>
  <sheetData>
    <row r="1" spans="1:15">
      <c r="A1" s="63" t="s">
        <v>174</v>
      </c>
      <c r="B1" s="63" t="s">
        <v>178</v>
      </c>
      <c r="C1" s="63" t="s">
        <v>179</v>
      </c>
      <c r="D1" s="64" t="s">
        <v>180</v>
      </c>
      <c r="E1" s="59" t="s">
        <v>181</v>
      </c>
    </row>
    <row r="2" spans="1:15">
      <c r="A2" s="65">
        <v>0</v>
      </c>
      <c r="B2" s="66">
        <v>4000000</v>
      </c>
      <c r="C2" s="66">
        <v>0</v>
      </c>
      <c r="D2" s="67">
        <f t="shared" ref="D2:D12" si="0">B2*$B$14</f>
        <v>400000</v>
      </c>
      <c r="E2" s="36">
        <f>SUM(B2:D2)</f>
        <v>4400000</v>
      </c>
      <c r="F2" s="42"/>
      <c r="L2" s="38"/>
      <c r="M2" s="39"/>
      <c r="N2" s="39"/>
      <c r="O2" s="39"/>
    </row>
    <row r="3" spans="1:15">
      <c r="A3" s="65">
        <v>1</v>
      </c>
      <c r="B3" s="66">
        <f>E2</f>
        <v>4400000</v>
      </c>
      <c r="C3" s="66">
        <f t="shared" ref="C3:C12" si="1">B2*$B$15</f>
        <v>200000</v>
      </c>
      <c r="D3" s="67">
        <f t="shared" si="0"/>
        <v>440000</v>
      </c>
      <c r="E3" s="36">
        <f t="shared" ref="E3:E12" si="2">SUM(B3:D3)</f>
        <v>5040000</v>
      </c>
      <c r="F3" s="42"/>
      <c r="L3" s="38"/>
      <c r="M3" s="39"/>
      <c r="N3" s="39"/>
      <c r="O3" s="39"/>
    </row>
    <row r="4" spans="1:15">
      <c r="A4" s="65">
        <v>2</v>
      </c>
      <c r="B4" s="66">
        <f t="shared" ref="B4:B12" si="3">E3</f>
        <v>5040000</v>
      </c>
      <c r="C4" s="66">
        <f t="shared" si="1"/>
        <v>220000</v>
      </c>
      <c r="D4" s="67">
        <f t="shared" si="0"/>
        <v>504000</v>
      </c>
      <c r="E4" s="36">
        <f t="shared" si="2"/>
        <v>5764000</v>
      </c>
      <c r="F4" s="42"/>
      <c r="L4" s="38"/>
      <c r="M4" s="39"/>
      <c r="N4" s="39"/>
      <c r="O4" s="39"/>
    </row>
    <row r="5" spans="1:15">
      <c r="A5" s="65">
        <v>3</v>
      </c>
      <c r="B5" s="66">
        <f t="shared" si="3"/>
        <v>5764000</v>
      </c>
      <c r="C5" s="66">
        <f t="shared" si="1"/>
        <v>252000</v>
      </c>
      <c r="D5" s="67">
        <f t="shared" si="0"/>
        <v>576400</v>
      </c>
      <c r="E5" s="36">
        <f t="shared" si="2"/>
        <v>6592400</v>
      </c>
      <c r="F5" s="42"/>
      <c r="L5" s="38"/>
      <c r="M5" s="39"/>
      <c r="N5" s="39"/>
      <c r="O5" s="39"/>
    </row>
    <row r="6" spans="1:15">
      <c r="A6" s="65">
        <v>4</v>
      </c>
      <c r="B6" s="66">
        <f t="shared" si="3"/>
        <v>6592400</v>
      </c>
      <c r="C6" s="66">
        <f t="shared" si="1"/>
        <v>288200</v>
      </c>
      <c r="D6" s="67">
        <f t="shared" si="0"/>
        <v>659240</v>
      </c>
      <c r="E6" s="36">
        <f t="shared" si="2"/>
        <v>7539840</v>
      </c>
      <c r="F6" s="42"/>
      <c r="L6" s="38"/>
      <c r="M6" s="39"/>
      <c r="N6" s="39"/>
      <c r="O6" s="39"/>
    </row>
    <row r="7" spans="1:15">
      <c r="A7" s="65">
        <v>5</v>
      </c>
      <c r="B7" s="66">
        <f t="shared" si="3"/>
        <v>7539840</v>
      </c>
      <c r="C7" s="66">
        <f t="shared" si="1"/>
        <v>329620</v>
      </c>
      <c r="D7" s="67">
        <f t="shared" si="0"/>
        <v>753984</v>
      </c>
      <c r="E7" s="36">
        <f t="shared" si="2"/>
        <v>8623444</v>
      </c>
      <c r="F7" s="42"/>
      <c r="L7" s="38"/>
      <c r="M7" s="39"/>
      <c r="N7" s="39"/>
      <c r="O7" s="39"/>
    </row>
    <row r="8" spans="1:15">
      <c r="A8" s="65">
        <v>6</v>
      </c>
      <c r="B8" s="66">
        <f t="shared" si="3"/>
        <v>8623444</v>
      </c>
      <c r="C8" s="66">
        <f t="shared" si="1"/>
        <v>376992</v>
      </c>
      <c r="D8" s="67">
        <f t="shared" si="0"/>
        <v>862344.4</v>
      </c>
      <c r="E8" s="36">
        <f t="shared" si="2"/>
        <v>9862780.4000000004</v>
      </c>
    </row>
    <row r="9" spans="1:15">
      <c r="A9" s="65">
        <v>7</v>
      </c>
      <c r="B9" s="66">
        <f t="shared" si="3"/>
        <v>9862780.4000000004</v>
      </c>
      <c r="C9" s="66">
        <f t="shared" si="1"/>
        <v>431172.2</v>
      </c>
      <c r="D9" s="67">
        <f t="shared" si="0"/>
        <v>986278.04</v>
      </c>
      <c r="E9" s="36">
        <f t="shared" si="2"/>
        <v>11280230.640000001</v>
      </c>
    </row>
    <row r="10" spans="1:15">
      <c r="A10" s="65">
        <v>8</v>
      </c>
      <c r="B10" s="66">
        <f t="shared" si="3"/>
        <v>11280230.640000001</v>
      </c>
      <c r="C10" s="66">
        <f t="shared" si="1"/>
        <v>493139.02</v>
      </c>
      <c r="D10" s="67">
        <f t="shared" si="0"/>
        <v>1128023.064</v>
      </c>
      <c r="E10" s="36">
        <f t="shared" si="2"/>
        <v>12901392.723999999</v>
      </c>
    </row>
    <row r="11" spans="1:15">
      <c r="A11" s="65">
        <v>9</v>
      </c>
      <c r="B11" s="66">
        <f t="shared" si="3"/>
        <v>12901392.723999999</v>
      </c>
      <c r="C11" s="66">
        <f t="shared" si="1"/>
        <v>564011.53200000001</v>
      </c>
      <c r="D11" s="67">
        <f t="shared" si="0"/>
        <v>1290139.2724000001</v>
      </c>
      <c r="E11" s="36">
        <f t="shared" si="2"/>
        <v>14755543.5284</v>
      </c>
    </row>
    <row r="12" spans="1:15">
      <c r="A12" s="65">
        <v>10</v>
      </c>
      <c r="B12" s="66">
        <f t="shared" si="3"/>
        <v>14755543.5284</v>
      </c>
      <c r="C12" s="66">
        <f t="shared" si="1"/>
        <v>645069.63620000007</v>
      </c>
      <c r="D12" s="67">
        <f t="shared" si="0"/>
        <v>1475554.3528400001</v>
      </c>
      <c r="E12" s="36">
        <f t="shared" si="2"/>
        <v>16876167.517439999</v>
      </c>
    </row>
    <row r="13" spans="1:15">
      <c r="D13" s="67"/>
    </row>
    <row r="14" spans="1:15">
      <c r="A14" s="59" t="s">
        <v>182</v>
      </c>
      <c r="B14" s="62">
        <v>0.1</v>
      </c>
      <c r="C14" s="62"/>
      <c r="D14" s="67"/>
    </row>
    <row r="15" spans="1:15">
      <c r="A15" s="59" t="s">
        <v>183</v>
      </c>
      <c r="B15" s="37">
        <v>0.05</v>
      </c>
      <c r="D15" s="6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5306-40BF-4C20-8140-E433A57ECBDB}">
  <dimension ref="A1:M28"/>
  <sheetViews>
    <sheetView zoomScale="70" zoomScaleNormal="70" workbookViewId="0">
      <selection activeCell="J16" sqref="J16:K16"/>
    </sheetView>
  </sheetViews>
  <sheetFormatPr defaultColWidth="24.28515625" defaultRowHeight="14.45"/>
  <cols>
    <col min="1" max="1" width="18.140625" customWidth="1"/>
  </cols>
  <sheetData>
    <row r="1" spans="1:13">
      <c r="A1" s="79" t="s">
        <v>174</v>
      </c>
      <c r="B1" s="84">
        <v>0</v>
      </c>
      <c r="C1" s="85"/>
      <c r="D1" s="86">
        <v>1</v>
      </c>
      <c r="E1" s="86"/>
      <c r="F1" s="87">
        <v>2</v>
      </c>
      <c r="G1" s="88"/>
      <c r="H1" s="84">
        <v>3</v>
      </c>
      <c r="I1" s="89"/>
      <c r="J1" s="84">
        <v>4</v>
      </c>
      <c r="K1" s="89"/>
      <c r="L1" s="84">
        <v>5</v>
      </c>
      <c r="M1" s="85"/>
    </row>
    <row r="2" spans="1:13">
      <c r="A2" s="80" t="s">
        <v>184</v>
      </c>
      <c r="B2" s="43" t="s">
        <v>185</v>
      </c>
      <c r="C2" s="50" t="s">
        <v>186</v>
      </c>
      <c r="D2" s="51" t="s">
        <v>185</v>
      </c>
      <c r="E2" s="52" t="s">
        <v>186</v>
      </c>
      <c r="F2" s="53" t="s">
        <v>185</v>
      </c>
      <c r="G2" s="54" t="s">
        <v>186</v>
      </c>
      <c r="H2" s="55" t="s">
        <v>185</v>
      </c>
      <c r="I2" s="54" t="s">
        <v>186</v>
      </c>
      <c r="J2" s="55" t="s">
        <v>185</v>
      </c>
      <c r="K2" s="54" t="s">
        <v>186</v>
      </c>
      <c r="L2" s="55" t="s">
        <v>185</v>
      </c>
      <c r="M2" s="50" t="s">
        <v>186</v>
      </c>
    </row>
    <row r="3" spans="1:13">
      <c r="A3" s="47"/>
      <c r="B3" s="7"/>
      <c r="C3" s="56"/>
      <c r="D3" s="7"/>
      <c r="E3" s="30"/>
      <c r="F3" s="49"/>
      <c r="G3" s="30"/>
      <c r="H3" s="40"/>
      <c r="I3" s="30"/>
      <c r="J3" s="40"/>
      <c r="K3" s="81"/>
      <c r="L3" s="40"/>
      <c r="M3" s="44"/>
    </row>
    <row r="4" spans="1:13">
      <c r="A4" s="48" t="s">
        <v>187</v>
      </c>
      <c r="B4" s="7" t="s">
        <v>188</v>
      </c>
      <c r="C4" s="56" t="s">
        <v>189</v>
      </c>
      <c r="D4" s="7" t="s">
        <v>188</v>
      </c>
      <c r="E4" s="30" t="s">
        <v>190</v>
      </c>
      <c r="F4" s="49" t="s">
        <v>188</v>
      </c>
      <c r="G4" s="30" t="s">
        <v>191</v>
      </c>
      <c r="H4" s="40" t="s">
        <v>188</v>
      </c>
      <c r="I4" s="30" t="s">
        <v>192</v>
      </c>
      <c r="J4" s="40" t="s">
        <v>188</v>
      </c>
      <c r="K4" s="82" t="s">
        <v>193</v>
      </c>
      <c r="L4" s="40" t="s">
        <v>188</v>
      </c>
      <c r="M4" s="44" t="s">
        <v>194</v>
      </c>
    </row>
    <row r="5" spans="1:13">
      <c r="A5" s="47" t="s">
        <v>187</v>
      </c>
      <c r="B5" s="7" t="s">
        <v>195</v>
      </c>
      <c r="C5" s="56" t="s">
        <v>196</v>
      </c>
      <c r="D5" s="7" t="s">
        <v>195</v>
      </c>
      <c r="E5" s="30" t="s">
        <v>197</v>
      </c>
      <c r="F5" s="46" t="s">
        <v>195</v>
      </c>
      <c r="G5" s="30" t="s">
        <v>198</v>
      </c>
      <c r="H5" s="40" t="s">
        <v>195</v>
      </c>
      <c r="I5" s="30" t="s">
        <v>199</v>
      </c>
      <c r="J5" s="40" t="s">
        <v>195</v>
      </c>
      <c r="K5" s="82" t="s">
        <v>200</v>
      </c>
      <c r="L5" s="40" t="s">
        <v>195</v>
      </c>
      <c r="M5" s="44" t="s">
        <v>201</v>
      </c>
    </row>
    <row r="6" spans="1:13">
      <c r="A6" s="47"/>
      <c r="B6" s="7" t="s">
        <v>202</v>
      </c>
      <c r="C6" s="56" t="s">
        <v>203</v>
      </c>
      <c r="D6" t="s">
        <v>202</v>
      </c>
      <c r="E6" s="30" t="s">
        <v>203</v>
      </c>
      <c r="F6" s="46" t="s">
        <v>202</v>
      </c>
      <c r="G6" s="30" t="s">
        <v>203</v>
      </c>
      <c r="H6" s="41" t="s">
        <v>202</v>
      </c>
      <c r="I6" s="30" t="s">
        <v>203</v>
      </c>
      <c r="J6" s="41" t="s">
        <v>202</v>
      </c>
      <c r="K6" s="82" t="s">
        <v>203</v>
      </c>
      <c r="L6" s="41" t="s">
        <v>202</v>
      </c>
      <c r="M6" s="44" t="s">
        <v>203</v>
      </c>
    </row>
    <row r="7" spans="1:13">
      <c r="A7" s="48" t="s">
        <v>204</v>
      </c>
      <c r="B7" s="7" t="s">
        <v>205</v>
      </c>
      <c r="C7" s="56" t="s">
        <v>189</v>
      </c>
      <c r="D7" t="s">
        <v>205</v>
      </c>
      <c r="E7" s="30" t="s">
        <v>206</v>
      </c>
      <c r="F7" s="46" t="s">
        <v>205</v>
      </c>
      <c r="G7" s="30" t="s">
        <v>206</v>
      </c>
      <c r="H7" s="41" t="s">
        <v>205</v>
      </c>
      <c r="I7" s="44" t="s">
        <v>206</v>
      </c>
      <c r="J7" t="s">
        <v>205</v>
      </c>
      <c r="K7" s="82" t="s">
        <v>206</v>
      </c>
      <c r="L7" s="41" t="s">
        <v>205</v>
      </c>
      <c r="M7" s="44" t="s">
        <v>207</v>
      </c>
    </row>
    <row r="8" spans="1:13">
      <c r="A8" s="47"/>
      <c r="B8" s="7" t="s">
        <v>208</v>
      </c>
      <c r="C8" s="56" t="s">
        <v>209</v>
      </c>
      <c r="D8" s="7" t="s">
        <v>208</v>
      </c>
      <c r="E8" s="30" t="str">
        <f>C8</f>
        <v>$5,000</v>
      </c>
      <c r="F8" s="49" t="s">
        <v>208</v>
      </c>
      <c r="G8" s="44" t="str">
        <f>E8</f>
        <v>$5,000</v>
      </c>
      <c r="H8" s="7" t="s">
        <v>208</v>
      </c>
      <c r="I8" s="44" t="str">
        <f t="shared" ref="I8" si="0">G8</f>
        <v>$5,000</v>
      </c>
      <c r="J8" s="7" t="s">
        <v>208</v>
      </c>
      <c r="K8" s="44" t="str">
        <f t="shared" ref="K8" si="1">I8</f>
        <v>$5,000</v>
      </c>
      <c r="L8" s="7" t="s">
        <v>208</v>
      </c>
      <c r="M8" s="44" t="str">
        <f>K8</f>
        <v>$5,000</v>
      </c>
    </row>
    <row r="9" spans="1:13" ht="28.9">
      <c r="A9" s="48" t="s">
        <v>187</v>
      </c>
      <c r="B9" s="7" t="s">
        <v>210</v>
      </c>
      <c r="C9" s="56" t="s">
        <v>211</v>
      </c>
      <c r="D9" s="7" t="s">
        <v>210</v>
      </c>
      <c r="E9" s="30" t="s">
        <v>212</v>
      </c>
      <c r="F9" s="49" t="s">
        <v>210</v>
      </c>
      <c r="G9" s="44" t="s">
        <v>213</v>
      </c>
      <c r="H9" s="7" t="s">
        <v>210</v>
      </c>
      <c r="I9" s="44" t="s">
        <v>214</v>
      </c>
      <c r="J9" s="7" t="s">
        <v>210</v>
      </c>
      <c r="K9" s="44" t="s">
        <v>215</v>
      </c>
      <c r="L9" s="7" t="s">
        <v>210</v>
      </c>
      <c r="M9" s="44" t="s">
        <v>216</v>
      </c>
    </row>
    <row r="10" spans="1:13">
      <c r="A10" s="47"/>
      <c r="B10" s="7" t="s">
        <v>217</v>
      </c>
      <c r="C10" s="56" t="s">
        <v>209</v>
      </c>
      <c r="D10" s="7" t="s">
        <v>217</v>
      </c>
      <c r="E10" s="30" t="str">
        <f>C10</f>
        <v>$5,000</v>
      </c>
      <c r="F10" s="49" t="s">
        <v>217</v>
      </c>
      <c r="G10" s="44" t="str">
        <f t="shared" ref="G10" si="2">E10</f>
        <v>$5,000</v>
      </c>
      <c r="H10" s="7" t="s">
        <v>217</v>
      </c>
      <c r="I10" s="44" t="str">
        <f t="shared" ref="I10" si="3">G10</f>
        <v>$5,000</v>
      </c>
      <c r="J10" s="7" t="s">
        <v>217</v>
      </c>
      <c r="K10" s="44" t="str">
        <f t="shared" ref="K10" si="4">I10</f>
        <v>$5,000</v>
      </c>
      <c r="L10" s="7" t="s">
        <v>217</v>
      </c>
      <c r="M10" s="44" t="str">
        <f>K10</f>
        <v>$5,000</v>
      </c>
    </row>
    <row r="11" spans="1:13">
      <c r="A11" s="47" t="s">
        <v>187</v>
      </c>
      <c r="B11" s="7" t="s">
        <v>218</v>
      </c>
      <c r="C11" s="56" t="s">
        <v>211</v>
      </c>
      <c r="D11" s="7" t="s">
        <v>218</v>
      </c>
      <c r="E11" s="30" t="s">
        <v>212</v>
      </c>
      <c r="F11" s="49" t="s">
        <v>218</v>
      </c>
      <c r="G11" s="44" t="s">
        <v>213</v>
      </c>
      <c r="H11" s="7" t="s">
        <v>218</v>
      </c>
      <c r="I11" s="44" t="s">
        <v>214</v>
      </c>
      <c r="J11" s="7" t="s">
        <v>218</v>
      </c>
      <c r="K11" s="44" t="s">
        <v>215</v>
      </c>
      <c r="L11" s="7" t="s">
        <v>218</v>
      </c>
      <c r="M11" s="44" t="s">
        <v>216</v>
      </c>
    </row>
    <row r="12" spans="1:13">
      <c r="A12" s="45"/>
      <c r="C12" s="57"/>
      <c r="F12" s="46"/>
      <c r="G12" s="45"/>
      <c r="I12" s="45"/>
      <c r="K12" s="45"/>
      <c r="M12" s="45"/>
    </row>
    <row r="13" spans="1:13">
      <c r="A13" s="1" t="s">
        <v>181</v>
      </c>
      <c r="B13" s="3"/>
      <c r="C13" s="58" t="s">
        <v>219</v>
      </c>
      <c r="D13" s="3"/>
      <c r="E13" s="3" t="s">
        <v>220</v>
      </c>
      <c r="F13" s="3"/>
      <c r="G13" s="3" t="s">
        <v>221</v>
      </c>
      <c r="H13" s="3"/>
      <c r="I13" s="3" t="s">
        <v>222</v>
      </c>
      <c r="J13" s="3"/>
      <c r="K13" s="3" t="s">
        <v>223</v>
      </c>
      <c r="L13" s="3"/>
      <c r="M13" s="3" t="s">
        <v>224</v>
      </c>
    </row>
    <row r="16" spans="1:13">
      <c r="A16" s="79" t="s">
        <v>174</v>
      </c>
      <c r="B16" s="86">
        <v>6</v>
      </c>
      <c r="C16" s="89"/>
      <c r="D16" s="84">
        <v>7</v>
      </c>
      <c r="E16" s="89"/>
      <c r="F16" s="84">
        <v>8</v>
      </c>
      <c r="G16" s="89"/>
      <c r="H16" s="84">
        <v>9</v>
      </c>
      <c r="I16" s="89"/>
      <c r="J16" s="84">
        <v>10</v>
      </c>
      <c r="K16" s="89"/>
    </row>
    <row r="17" spans="1:11">
      <c r="A17" s="80" t="s">
        <v>184</v>
      </c>
      <c r="B17" s="51" t="s">
        <v>185</v>
      </c>
      <c r="C17" s="54" t="s">
        <v>186</v>
      </c>
      <c r="D17" s="55" t="s">
        <v>185</v>
      </c>
      <c r="E17" s="54" t="s">
        <v>186</v>
      </c>
      <c r="F17" s="55" t="s">
        <v>185</v>
      </c>
      <c r="G17" s="54" t="s">
        <v>186</v>
      </c>
      <c r="H17" s="55" t="s">
        <v>185</v>
      </c>
      <c r="I17" s="54" t="s">
        <v>186</v>
      </c>
      <c r="J17" s="55" t="s">
        <v>185</v>
      </c>
      <c r="K17" s="50" t="s">
        <v>186</v>
      </c>
    </row>
    <row r="18" spans="1:11">
      <c r="A18" s="47"/>
      <c r="B18" s="7"/>
      <c r="C18" s="30"/>
      <c r="D18" s="40"/>
      <c r="E18" s="30"/>
      <c r="F18" s="40"/>
      <c r="G18" s="30"/>
      <c r="H18" s="40"/>
      <c r="I18" s="30"/>
      <c r="J18" s="40"/>
      <c r="K18" s="44"/>
    </row>
    <row r="19" spans="1:11">
      <c r="A19" s="48" t="s">
        <v>187</v>
      </c>
      <c r="B19" s="7" t="s">
        <v>188</v>
      </c>
      <c r="C19" s="30" t="s">
        <v>225</v>
      </c>
      <c r="D19" s="40" t="s">
        <v>188</v>
      </c>
      <c r="E19" s="30" t="s">
        <v>226</v>
      </c>
      <c r="F19" s="40" t="s">
        <v>188</v>
      </c>
      <c r="G19" s="30" t="s">
        <v>227</v>
      </c>
      <c r="H19" s="40" t="s">
        <v>188</v>
      </c>
      <c r="I19" s="30" t="s">
        <v>228</v>
      </c>
      <c r="J19" s="40" t="s">
        <v>188</v>
      </c>
      <c r="K19" s="44" t="s">
        <v>229</v>
      </c>
    </row>
    <row r="20" spans="1:11">
      <c r="A20" s="47" t="s">
        <v>187</v>
      </c>
      <c r="B20" s="7" t="s">
        <v>195</v>
      </c>
      <c r="C20" s="30" t="s">
        <v>230</v>
      </c>
      <c r="D20" s="40" t="s">
        <v>195</v>
      </c>
      <c r="E20" s="30" t="s">
        <v>231</v>
      </c>
      <c r="F20" s="40" t="s">
        <v>195</v>
      </c>
      <c r="G20" s="30" t="s">
        <v>232</v>
      </c>
      <c r="H20" s="40" t="s">
        <v>195</v>
      </c>
      <c r="I20" s="30" t="s">
        <v>233</v>
      </c>
      <c r="J20" s="40" t="s">
        <v>195</v>
      </c>
      <c r="K20" s="44" t="s">
        <v>234</v>
      </c>
    </row>
    <row r="21" spans="1:11">
      <c r="A21" s="47"/>
      <c r="B21" t="s">
        <v>202</v>
      </c>
      <c r="C21" s="30" t="s">
        <v>203</v>
      </c>
      <c r="D21" s="41" t="s">
        <v>202</v>
      </c>
      <c r="E21" s="30" t="s">
        <v>203</v>
      </c>
      <c r="F21" s="41" t="s">
        <v>202</v>
      </c>
      <c r="G21" s="30" t="s">
        <v>203</v>
      </c>
      <c r="H21" s="41" t="s">
        <v>202</v>
      </c>
      <c r="I21" s="30" t="s">
        <v>203</v>
      </c>
      <c r="J21" s="41" t="s">
        <v>202</v>
      </c>
      <c r="K21" s="44" t="s">
        <v>203</v>
      </c>
    </row>
    <row r="22" spans="1:11">
      <c r="A22" s="48" t="s">
        <v>204</v>
      </c>
      <c r="B22" t="s">
        <v>205</v>
      </c>
      <c r="C22" s="30" t="s">
        <v>206</v>
      </c>
      <c r="D22" s="41" t="s">
        <v>205</v>
      </c>
      <c r="E22" s="30" t="s">
        <v>206</v>
      </c>
      <c r="F22" s="41" t="s">
        <v>205</v>
      </c>
      <c r="G22" s="30" t="s">
        <v>206</v>
      </c>
      <c r="H22" s="41" t="s">
        <v>205</v>
      </c>
      <c r="I22" s="30" t="s">
        <v>206</v>
      </c>
      <c r="J22" s="41" t="s">
        <v>205</v>
      </c>
      <c r="K22" s="44" t="s">
        <v>235</v>
      </c>
    </row>
    <row r="23" spans="1:11">
      <c r="A23" s="47"/>
      <c r="B23" s="7" t="s">
        <v>208</v>
      </c>
      <c r="C23" s="30" t="str">
        <f>M8</f>
        <v>$5,000</v>
      </c>
      <c r="D23" s="40" t="s">
        <v>208</v>
      </c>
      <c r="E23" s="30" t="str">
        <f t="shared" ref="E23" si="5">C23</f>
        <v>$5,000</v>
      </c>
      <c r="F23" s="40" t="s">
        <v>208</v>
      </c>
      <c r="G23" s="30" t="str">
        <f t="shared" ref="G23" si="6">E23</f>
        <v>$5,000</v>
      </c>
      <c r="H23" s="40" t="s">
        <v>208</v>
      </c>
      <c r="I23" s="30" t="str">
        <f t="shared" ref="I23" si="7">G23</f>
        <v>$5,000</v>
      </c>
      <c r="J23" s="40" t="s">
        <v>208</v>
      </c>
      <c r="K23" s="44" t="str">
        <f t="shared" ref="K23" si="8">I23</f>
        <v>$5,000</v>
      </c>
    </row>
    <row r="24" spans="1:11" ht="28.9">
      <c r="A24" s="48" t="s">
        <v>187</v>
      </c>
      <c r="B24" s="7" t="s">
        <v>210</v>
      </c>
      <c r="C24" s="30" t="s">
        <v>236</v>
      </c>
      <c r="D24" s="40" t="s">
        <v>210</v>
      </c>
      <c r="E24" s="44" t="s">
        <v>237</v>
      </c>
      <c r="F24" s="7" t="s">
        <v>210</v>
      </c>
      <c r="G24" s="30" t="s">
        <v>238</v>
      </c>
      <c r="H24" s="40" t="s">
        <v>210</v>
      </c>
      <c r="I24" s="30" t="s">
        <v>239</v>
      </c>
      <c r="J24" s="40" t="s">
        <v>210</v>
      </c>
      <c r="K24" s="44" t="s">
        <v>240</v>
      </c>
    </row>
    <row r="25" spans="1:11">
      <c r="A25" s="47"/>
      <c r="B25" s="7" t="s">
        <v>217</v>
      </c>
      <c r="C25" s="44" t="str">
        <f>M10</f>
        <v>$5,000</v>
      </c>
      <c r="D25" s="7" t="s">
        <v>217</v>
      </c>
      <c r="E25" s="44" t="str">
        <f t="shared" ref="E25" si="9">C25</f>
        <v>$5,000</v>
      </c>
      <c r="F25" s="7" t="s">
        <v>217</v>
      </c>
      <c r="G25" s="44" t="str">
        <f t="shared" ref="G25" si="10">E25</f>
        <v>$5,000</v>
      </c>
      <c r="H25" s="7" t="s">
        <v>217</v>
      </c>
      <c r="I25" s="44" t="str">
        <f t="shared" ref="I25" si="11">G25</f>
        <v>$5,000</v>
      </c>
      <c r="J25" s="7" t="s">
        <v>217</v>
      </c>
      <c r="K25" s="44" t="str">
        <f t="shared" ref="K25" si="12">I25</f>
        <v>$5,000</v>
      </c>
    </row>
    <row r="26" spans="1:11">
      <c r="A26" s="47" t="s">
        <v>187</v>
      </c>
      <c r="B26" s="7" t="s">
        <v>218</v>
      </c>
      <c r="C26" s="44" t="s">
        <v>236</v>
      </c>
      <c r="D26" s="7" t="s">
        <v>218</v>
      </c>
      <c r="E26" s="44" t="s">
        <v>237</v>
      </c>
      <c r="F26" s="7" t="s">
        <v>218</v>
      </c>
      <c r="G26" s="44" t="s">
        <v>238</v>
      </c>
      <c r="H26" s="7" t="s">
        <v>218</v>
      </c>
      <c r="I26" s="44" t="s">
        <v>239</v>
      </c>
      <c r="J26" s="7" t="s">
        <v>218</v>
      </c>
      <c r="K26" s="44" t="s">
        <v>240</v>
      </c>
    </row>
    <row r="27" spans="1:11">
      <c r="A27" s="45"/>
      <c r="C27" s="45"/>
      <c r="E27" s="45"/>
      <c r="G27" s="45"/>
      <c r="I27" s="45"/>
      <c r="K27" s="45"/>
    </row>
    <row r="28" spans="1:11">
      <c r="A28" s="1" t="s">
        <v>181</v>
      </c>
      <c r="B28" s="3"/>
      <c r="C28" s="3" t="s">
        <v>241</v>
      </c>
      <c r="D28" s="3"/>
      <c r="E28" s="3" t="s">
        <v>242</v>
      </c>
      <c r="F28" s="3"/>
      <c r="G28" s="3" t="s">
        <v>243</v>
      </c>
      <c r="H28" s="3"/>
      <c r="I28" s="3" t="s">
        <v>244</v>
      </c>
      <c r="J28" s="3"/>
      <c r="K28" s="3" t="s">
        <v>245</v>
      </c>
    </row>
  </sheetData>
  <mergeCells count="11">
    <mergeCell ref="B16:C16"/>
    <mergeCell ref="D16:E16"/>
    <mergeCell ref="F16:G16"/>
    <mergeCell ref="H16:I16"/>
    <mergeCell ref="J16:K16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E150-8C7F-4E19-B86B-D12F8294BE1C}">
  <dimension ref="A1:X30"/>
  <sheetViews>
    <sheetView workbookViewId="0">
      <selection activeCell="O15" sqref="O15"/>
    </sheetView>
  </sheetViews>
  <sheetFormatPr defaultColWidth="9.140625" defaultRowHeight="14.45"/>
  <cols>
    <col min="1" max="1" width="12.42578125" style="70" customWidth="1"/>
    <col min="2" max="2" width="20.7109375" style="70" customWidth="1"/>
    <col min="3" max="3" width="18.7109375" style="70" customWidth="1"/>
    <col min="4" max="4" width="16.5703125" style="70" customWidth="1"/>
    <col min="5" max="5" width="11.85546875" style="70" customWidth="1"/>
    <col min="6" max="16384" width="9.140625" style="70"/>
  </cols>
  <sheetData>
    <row r="1" spans="1:24">
      <c r="A1" s="59" t="s">
        <v>246</v>
      </c>
      <c r="B1" s="78" t="s">
        <v>247</v>
      </c>
      <c r="C1" s="78" t="s">
        <v>248</v>
      </c>
      <c r="D1" s="78" t="s">
        <v>249</v>
      </c>
    </row>
    <row r="2" spans="1:24">
      <c r="A2">
        <v>0</v>
      </c>
      <c r="B2" s="30">
        <f>'P2 Income'!E2</f>
        <v>4400000</v>
      </c>
      <c r="C2" s="30" t="str">
        <f>'P2 Expense'!C$13</f>
        <v>$154,000</v>
      </c>
      <c r="D2" s="30">
        <f>B2-C2</f>
        <v>4246000</v>
      </c>
      <c r="E2" s="69"/>
    </row>
    <row r="3" spans="1:24">
      <c r="A3">
        <v>1</v>
      </c>
      <c r="B3" s="30">
        <f>'P2 Income'!E3</f>
        <v>5040000</v>
      </c>
      <c r="C3" s="30" t="str">
        <f>'P2 Expense'!E$13</f>
        <v>$107,900</v>
      </c>
      <c r="D3" s="30">
        <f t="shared" ref="D3:D12" si="0">B3-C3</f>
        <v>4932100</v>
      </c>
      <c r="E3" s="69"/>
    </row>
    <row r="4" spans="1:24">
      <c r="A4">
        <v>2</v>
      </c>
      <c r="B4" s="30">
        <f>'P2 Income'!E4</f>
        <v>5764000</v>
      </c>
      <c r="C4" s="30" t="str">
        <f>'P2 Expense'!G$13</f>
        <v>$111,995</v>
      </c>
      <c r="D4" s="30">
        <f t="shared" si="0"/>
        <v>5652005</v>
      </c>
      <c r="E4" s="69"/>
    </row>
    <row r="5" spans="1:24">
      <c r="A5">
        <v>3</v>
      </c>
      <c r="B5" s="30">
        <f>'P2 Income'!E5</f>
        <v>6592400</v>
      </c>
      <c r="C5" s="30" t="str">
        <f>'P2 Expense'!I$13</f>
        <v>$116,294</v>
      </c>
      <c r="D5" s="30">
        <f t="shared" si="0"/>
        <v>6476106</v>
      </c>
      <c r="E5" s="69"/>
    </row>
    <row r="6" spans="1:24">
      <c r="A6">
        <v>4</v>
      </c>
      <c r="B6" s="30">
        <f>'P2 Income'!E6</f>
        <v>7539840</v>
      </c>
      <c r="C6" s="30" t="str">
        <f>'P2 Expense'!K$13</f>
        <v>$120,809</v>
      </c>
      <c r="D6" s="30">
        <f t="shared" si="0"/>
        <v>7419031</v>
      </c>
      <c r="E6" s="69"/>
    </row>
    <row r="7" spans="1:24">
      <c r="A7">
        <v>5</v>
      </c>
      <c r="B7" s="30">
        <f>'P2 Income'!E7</f>
        <v>8623444</v>
      </c>
      <c r="C7" s="30" t="str">
        <f>'P2 Expense'!M$13</f>
        <v>$188,050</v>
      </c>
      <c r="D7" s="30">
        <f t="shared" si="0"/>
        <v>8435394</v>
      </c>
      <c r="E7" s="69"/>
    </row>
    <row r="8" spans="1:24">
      <c r="A8">
        <v>6</v>
      </c>
      <c r="B8" s="30">
        <f>'P2 Income'!E8</f>
        <v>9862780.4000000004</v>
      </c>
      <c r="C8" s="30" t="str">
        <f>'P2 Expense'!C$28</f>
        <v>$130,528</v>
      </c>
      <c r="D8" s="30">
        <f t="shared" si="0"/>
        <v>9732252.4000000004</v>
      </c>
      <c r="E8" s="69"/>
    </row>
    <row r="9" spans="1:24">
      <c r="A9">
        <v>7</v>
      </c>
      <c r="B9" s="30">
        <f>'P2 Income'!E9</f>
        <v>11280230.640000001</v>
      </c>
      <c r="C9" s="30" t="str">
        <f>'P2 Expense'!E$28</f>
        <v>$135,754</v>
      </c>
      <c r="D9" s="30">
        <f t="shared" si="0"/>
        <v>11144476.640000001</v>
      </c>
      <c r="E9" s="69"/>
    </row>
    <row r="10" spans="1:24">
      <c r="A10">
        <v>8</v>
      </c>
      <c r="B10" s="30">
        <f>'P2 Income'!E10</f>
        <v>12901392.723999999</v>
      </c>
      <c r="C10" s="30" t="str">
        <f>'P2 Expense'!G$28</f>
        <v>$141,243</v>
      </c>
      <c r="D10" s="30">
        <f t="shared" si="0"/>
        <v>12760149.723999999</v>
      </c>
      <c r="E10" s="69"/>
    </row>
    <row r="11" spans="1:24">
      <c r="A11">
        <v>9</v>
      </c>
      <c r="B11" s="30">
        <f>'P2 Income'!E11</f>
        <v>14755543.5284</v>
      </c>
      <c r="C11" s="30" t="str">
        <f>'P2 Expense'!I$28</f>
        <v>$147,003</v>
      </c>
      <c r="D11" s="30">
        <f t="shared" si="0"/>
        <v>14608540.5284</v>
      </c>
      <c r="E11" s="69"/>
    </row>
    <row r="12" spans="1:24">
      <c r="A12">
        <v>10</v>
      </c>
      <c r="B12" s="30">
        <f>'P2 Income'!E12</f>
        <v>16876167.517439999</v>
      </c>
      <c r="C12" s="30" t="str">
        <f>'P2 Expense'!K$28</f>
        <v>$231,179</v>
      </c>
      <c r="D12" s="30">
        <f t="shared" si="0"/>
        <v>16644988.517439999</v>
      </c>
      <c r="E12" s="69"/>
    </row>
    <row r="16" spans="1:24">
      <c r="A16" s="71"/>
      <c r="C16" s="75"/>
      <c r="F16" s="73"/>
      <c r="H16" s="73"/>
      <c r="I16" s="72"/>
      <c r="J16" s="73"/>
      <c r="K16" s="72"/>
      <c r="L16" s="73"/>
      <c r="M16" s="72"/>
      <c r="N16" s="73"/>
      <c r="O16" s="72"/>
      <c r="P16" s="73"/>
      <c r="Q16" s="72"/>
      <c r="R16" s="73"/>
      <c r="S16" s="72"/>
      <c r="T16" s="73"/>
      <c r="U16" s="72"/>
      <c r="V16" s="73"/>
      <c r="W16" s="72"/>
      <c r="X16" s="73"/>
    </row>
    <row r="17" spans="1:24">
      <c r="A17" s="71"/>
      <c r="C17" s="76"/>
      <c r="F17" s="73"/>
      <c r="H17" s="73"/>
      <c r="J17" s="73"/>
      <c r="L17" s="73"/>
      <c r="N17" s="73"/>
      <c r="P17" s="73"/>
      <c r="R17" s="73"/>
      <c r="T17" s="73"/>
      <c r="V17" s="73"/>
      <c r="X17" s="73"/>
    </row>
    <row r="18" spans="1:24">
      <c r="A18" s="74"/>
      <c r="F18" s="73"/>
      <c r="H18" s="73"/>
      <c r="J18" s="73"/>
      <c r="L18" s="73"/>
      <c r="N18" s="73"/>
      <c r="P18" s="73"/>
      <c r="R18" s="73"/>
      <c r="T18" s="73"/>
      <c r="V18" s="73"/>
      <c r="X18" s="73"/>
    </row>
    <row r="19" spans="1:24">
      <c r="A19" s="71"/>
      <c r="F19" s="73"/>
      <c r="G19" s="72"/>
      <c r="H19" s="73"/>
      <c r="I19" s="72"/>
      <c r="J19" s="73"/>
      <c r="K19" s="72"/>
      <c r="L19" s="73"/>
      <c r="M19" s="72"/>
      <c r="N19" s="73"/>
      <c r="O19" s="72"/>
      <c r="P19" s="73"/>
      <c r="Q19" s="72"/>
      <c r="R19" s="73"/>
      <c r="S19" s="72"/>
      <c r="T19" s="73"/>
      <c r="U19" s="72"/>
      <c r="V19" s="73"/>
      <c r="W19" s="72"/>
      <c r="X19" s="73"/>
    </row>
    <row r="20" spans="1:24">
      <c r="A20" s="74"/>
      <c r="F20" s="73"/>
      <c r="G20" s="72"/>
      <c r="H20" s="73"/>
      <c r="I20" s="72"/>
      <c r="J20" s="73"/>
      <c r="K20" s="72"/>
      <c r="L20" s="73"/>
      <c r="M20" s="72"/>
      <c r="N20" s="73"/>
      <c r="O20" s="72"/>
      <c r="P20" s="73"/>
      <c r="Q20" s="72"/>
      <c r="R20" s="73"/>
      <c r="S20" s="72"/>
      <c r="T20" s="73"/>
      <c r="U20" s="72"/>
      <c r="V20" s="73"/>
      <c r="W20" s="72"/>
      <c r="X20" s="73"/>
    </row>
    <row r="21" spans="1:24">
      <c r="A21" s="71"/>
      <c r="B21" s="68"/>
      <c r="C21" s="77"/>
      <c r="D21" s="77"/>
      <c r="E21" s="77"/>
      <c r="F21" s="73"/>
      <c r="G21" s="72"/>
      <c r="H21" s="73"/>
      <c r="I21" s="72"/>
      <c r="J21" s="73"/>
      <c r="K21" s="72"/>
      <c r="L21" s="73"/>
      <c r="M21" s="72"/>
      <c r="N21" s="73"/>
      <c r="O21" s="72"/>
      <c r="P21" s="73"/>
      <c r="Q21" s="72"/>
      <c r="R21" s="73"/>
      <c r="S21" s="72"/>
      <c r="T21" s="73"/>
      <c r="U21" s="72"/>
      <c r="V21" s="73"/>
      <c r="W21" s="72"/>
      <c r="X21" s="73"/>
    </row>
    <row r="22" spans="1:24">
      <c r="A22" s="71"/>
      <c r="B22" s="68"/>
      <c r="C22" s="77"/>
      <c r="D22" s="77"/>
      <c r="E22" s="77"/>
      <c r="F22" s="73"/>
      <c r="G22" s="72"/>
      <c r="H22" s="73"/>
      <c r="I22" s="72"/>
      <c r="J22" s="73"/>
      <c r="K22" s="72"/>
      <c r="L22" s="73"/>
      <c r="M22" s="72"/>
      <c r="N22" s="73"/>
      <c r="O22" s="72"/>
      <c r="P22" s="73"/>
      <c r="Q22" s="72"/>
      <c r="R22" s="73"/>
      <c r="S22" s="72"/>
      <c r="T22" s="73"/>
      <c r="U22" s="72"/>
      <c r="V22" s="73"/>
      <c r="W22" s="72"/>
      <c r="X22" s="73"/>
    </row>
    <row r="23" spans="1:24">
      <c r="B23" s="68"/>
      <c r="C23" s="77"/>
      <c r="D23" s="77"/>
      <c r="E23" s="77"/>
    </row>
    <row r="24" spans="1:24">
      <c r="B24" s="68"/>
      <c r="C24" s="77"/>
      <c r="D24" s="77"/>
      <c r="E24" s="77"/>
    </row>
    <row r="25" spans="1:24">
      <c r="B25" s="68"/>
      <c r="C25" s="77"/>
      <c r="D25" s="77"/>
      <c r="E25" s="77"/>
    </row>
    <row r="26" spans="1:24">
      <c r="B26" s="68"/>
      <c r="C26" s="77"/>
      <c r="D26" s="77"/>
      <c r="E26" s="77"/>
    </row>
    <row r="27" spans="1:24">
      <c r="B27" s="68"/>
      <c r="C27" s="77"/>
      <c r="D27" s="77"/>
      <c r="E27" s="77"/>
    </row>
    <row r="28" spans="1:24">
      <c r="B28" s="68"/>
      <c r="C28" s="77"/>
      <c r="D28" s="77"/>
      <c r="E28" s="77"/>
    </row>
    <row r="29" spans="1:24">
      <c r="B29" s="68"/>
      <c r="C29" s="77"/>
      <c r="D29" s="77"/>
      <c r="E29" s="77"/>
    </row>
    <row r="30" spans="1:24">
      <c r="B30" s="68"/>
      <c r="C30" s="77"/>
      <c r="D30" s="77"/>
      <c r="E30" s="7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3757-C5F1-47E8-BEC7-8C8CFC2BF64E}">
  <dimension ref="A1:D15"/>
  <sheetViews>
    <sheetView workbookViewId="0">
      <selection activeCell="C16" sqref="C16"/>
    </sheetView>
  </sheetViews>
  <sheetFormatPr defaultRowHeight="14.45"/>
  <cols>
    <col min="1" max="1" width="10.7109375" bestFit="1" customWidth="1"/>
    <col min="2" max="2" width="26.42578125" style="61" customWidth="1"/>
    <col min="3" max="3" width="19.28515625" customWidth="1"/>
    <col min="4" max="4" width="22.28515625" bestFit="1" customWidth="1"/>
  </cols>
  <sheetData>
    <row r="1" spans="1:4">
      <c r="A1" s="59" t="s">
        <v>174</v>
      </c>
      <c r="B1" s="60" t="s">
        <v>250</v>
      </c>
      <c r="C1" s="59" t="s">
        <v>251</v>
      </c>
      <c r="D1" s="59" t="s">
        <v>252</v>
      </c>
    </row>
    <row r="2" spans="1:4">
      <c r="A2">
        <v>0</v>
      </c>
      <c r="B2" s="61">
        <f>'P2 Cash Flow'!D2</f>
        <v>4246000</v>
      </c>
      <c r="C2" s="35">
        <f>PV($B$14,A2,0,1)</f>
        <v>-1</v>
      </c>
      <c r="D2" s="35">
        <f t="shared" ref="D2:D12" si="0">-PV($B$14,A2,0,B2)</f>
        <v>4246000</v>
      </c>
    </row>
    <row r="3" spans="1:4">
      <c r="A3">
        <v>1</v>
      </c>
      <c r="B3" s="61">
        <f>'P2 Cash Flow'!D3</f>
        <v>4932100</v>
      </c>
      <c r="C3" s="35">
        <f t="shared" ref="C3:C12" si="1">PV($B$14,A3,0,1)</f>
        <v>-0.95238095238095233</v>
      </c>
      <c r="D3" s="35">
        <f t="shared" si="0"/>
        <v>4697238.0952380951</v>
      </c>
    </row>
    <row r="4" spans="1:4">
      <c r="A4">
        <v>2</v>
      </c>
      <c r="B4" s="61">
        <f>'P2 Cash Flow'!D4</f>
        <v>5652005</v>
      </c>
      <c r="C4" s="35">
        <f t="shared" si="1"/>
        <v>-0.90702947845804982</v>
      </c>
      <c r="D4" s="35">
        <f t="shared" si="0"/>
        <v>5126535.1473922897</v>
      </c>
    </row>
    <row r="5" spans="1:4">
      <c r="A5">
        <v>3</v>
      </c>
      <c r="B5" s="61">
        <f>'P2 Cash Flow'!D5</f>
        <v>6476106</v>
      </c>
      <c r="C5" s="35">
        <f t="shared" si="1"/>
        <v>-0.86383759853147601</v>
      </c>
      <c r="D5" s="35">
        <f t="shared" si="0"/>
        <v>5594303.8548752824</v>
      </c>
    </row>
    <row r="6" spans="1:4">
      <c r="A6">
        <v>4</v>
      </c>
      <c r="B6" s="61">
        <f>'P2 Cash Flow'!D6</f>
        <v>7419031</v>
      </c>
      <c r="C6" s="35">
        <f t="shared" si="1"/>
        <v>-0.82270247479188197</v>
      </c>
      <c r="D6" s="35">
        <f t="shared" si="0"/>
        <v>6103655.1642576912</v>
      </c>
    </row>
    <row r="7" spans="1:4">
      <c r="A7">
        <v>5</v>
      </c>
      <c r="B7" s="61">
        <f>'P2 Cash Flow'!D7</f>
        <v>8435394</v>
      </c>
      <c r="C7" s="35">
        <f t="shared" si="1"/>
        <v>-0.78352616646845896</v>
      </c>
      <c r="D7" s="35">
        <f t="shared" si="0"/>
        <v>6609351.9234710401</v>
      </c>
    </row>
    <row r="8" spans="1:4">
      <c r="A8">
        <v>6</v>
      </c>
      <c r="B8" s="61">
        <f>'P2 Cash Flow'!D8</f>
        <v>9732252.4000000004</v>
      </c>
      <c r="C8" s="35">
        <f t="shared" si="1"/>
        <v>-0.74621539663662761</v>
      </c>
      <c r="D8" s="35">
        <f t="shared" si="0"/>
        <v>7262356.5848337719</v>
      </c>
    </row>
    <row r="9" spans="1:4">
      <c r="A9">
        <v>7</v>
      </c>
      <c r="B9" s="61">
        <f>'P2 Cash Flow'!D9</f>
        <v>11144476.640000001</v>
      </c>
      <c r="C9" s="35">
        <f t="shared" si="1"/>
        <v>-0.71068133013012147</v>
      </c>
      <c r="D9" s="35">
        <f t="shared" si="0"/>
        <v>7920171.4821192669</v>
      </c>
    </row>
    <row r="10" spans="1:4">
      <c r="A10">
        <v>8</v>
      </c>
      <c r="B10" s="61">
        <f>'P2 Cash Flow'!D10</f>
        <v>12760149.723999999</v>
      </c>
      <c r="C10" s="35">
        <f t="shared" si="1"/>
        <v>-0.67683936202868722</v>
      </c>
      <c r="D10" s="35">
        <f t="shared" si="0"/>
        <v>8636571.5985826887</v>
      </c>
    </row>
    <row r="11" spans="1:4">
      <c r="A11">
        <v>9</v>
      </c>
      <c r="B11" s="61">
        <f>'P2 Cash Flow'!D11</f>
        <v>14608540.5284</v>
      </c>
      <c r="C11" s="35">
        <f t="shared" si="1"/>
        <v>-0.64460891621779726</v>
      </c>
      <c r="D11" s="35">
        <f t="shared" si="0"/>
        <v>9416795.4775356911</v>
      </c>
    </row>
    <row r="12" spans="1:4">
      <c r="A12">
        <v>10</v>
      </c>
      <c r="B12" s="61">
        <f>'P2 Cash Flow'!D12</f>
        <v>16644988.517439999</v>
      </c>
      <c r="C12" s="35">
        <f t="shared" si="1"/>
        <v>-0.61391325354075932</v>
      </c>
      <c r="D12" s="35">
        <f t="shared" si="0"/>
        <v>10218579.055890169</v>
      </c>
    </row>
    <row r="14" spans="1:4">
      <c r="A14" s="59" t="s">
        <v>253</v>
      </c>
      <c r="B14" s="62">
        <v>0.05</v>
      </c>
    </row>
    <row r="15" spans="1:4">
      <c r="A15" s="59" t="s">
        <v>181</v>
      </c>
      <c r="D15" s="35">
        <f>SUM(D2:D12)</f>
        <v>75831558.384195998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1E13D3A9A3F4B963E07AEBDEB75A6" ma:contentTypeVersion="4" ma:contentTypeDescription="Create a new document." ma:contentTypeScope="" ma:versionID="710f1569d37785621b46ebad7a167485">
  <xsd:schema xmlns:xsd="http://www.w3.org/2001/XMLSchema" xmlns:xs="http://www.w3.org/2001/XMLSchema" xmlns:p="http://schemas.microsoft.com/office/2006/metadata/properties" xmlns:ns2="21e8130d-ce71-4bc8-95bd-4806b5948600" targetNamespace="http://schemas.microsoft.com/office/2006/metadata/properties" ma:root="true" ma:fieldsID="c9a3e390125b15a75a442c51555565b1" ns2:_="">
    <xsd:import namespace="21e8130d-ce71-4bc8-95bd-4806b59486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8130d-ce71-4bc8-95bd-4806b5948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F47431-FB16-4C28-8C5B-D961F006027C}"/>
</file>

<file path=customXml/itemProps2.xml><?xml version="1.0" encoding="utf-8"?>
<ds:datastoreItem xmlns:ds="http://schemas.openxmlformats.org/officeDocument/2006/customXml" ds:itemID="{9B2C153C-7949-425B-8D3D-312E6ADB83E3}"/>
</file>

<file path=customXml/itemProps3.xml><?xml version="1.0" encoding="utf-8"?>
<ds:datastoreItem xmlns:ds="http://schemas.openxmlformats.org/officeDocument/2006/customXml" ds:itemID="{A2167364-B7A9-4B8D-BA22-DB6031444F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Rajesh Kanna,Lakshmipriya</cp:lastModifiedBy>
  <cp:revision/>
  <dcterms:created xsi:type="dcterms:W3CDTF">2024-02-17T00:10:47Z</dcterms:created>
  <dcterms:modified xsi:type="dcterms:W3CDTF">2024-03-15T15:53:17Z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0x010100F9D1E13D3A9A3F4B963E07AEBDEB75A6</vt:lpwstr>
  </property>
</Properties>
</file>