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trlProps/ctrlProp1.xml" ContentType="application/vnd.ms-excel.controlproperties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Diskstation\производство\ОСК\Вспомогательная\Семинары\БКП2\2025.07.31_создание задания на плиты\БКП2_плиты_КБР\БКП2_Фон+доп_КБР\"/>
    </mc:Choice>
  </mc:AlternateContent>
  <xr:revisionPtr revIDLastSave="0" documentId="13_ncr:1_{DB8BDFF9-C42D-4547-B121-70C0439FD296}" xr6:coauthVersionLast="47" xr6:coauthVersionMax="47" xr10:uidLastSave="{00000000-0000-0000-0000-000000000000}"/>
  <bookViews>
    <workbookView xWindow="-120" yWindow="-120" windowWidth="29040" windowHeight="15840" tabRatio="858" activeTab="12" xr2:uid="{00000000-000D-0000-FFFF-FFFF00000000}"/>
  </bookViews>
  <sheets>
    <sheet name="Е бетона" sheetId="4" r:id="rId1"/>
    <sheet name="Арм шкал" sheetId="25" r:id="rId2"/>
    <sheet name="% арм" sheetId="15" r:id="rId3"/>
    <sheet name="Прогиб" sheetId="12" r:id="rId4"/>
    <sheet name="Фи3Раскрепление" sheetId="5" r:id="rId5"/>
    <sheet name="ϕ1...ф4" sheetId="23" r:id="rId6"/>
    <sheet name="Анализ схем" sheetId="9" r:id="rId7"/>
    <sheet name="Интерполяция" sheetId="11" r:id="rId8"/>
    <sheet name="Расчет Qb" sheetId="24" r:id="rId9"/>
    <sheet name="Анкер|Нахл" sheetId="16" r:id="rId10"/>
    <sheet name="Коэф. Kze" sheetId="13" r:id="rId11"/>
    <sheet name="Муфты" sheetId="2" r:id="rId12"/>
    <sheet name="Огонь плит" sheetId="14" r:id="rId13"/>
    <sheet name="Арм.зад." sheetId="26" r:id="rId14"/>
    <sheet name="Расх_арм" sheetId="17" r:id="rId15"/>
    <sheet name="Пределы огнестойкости" sheetId="10" r:id="rId16"/>
    <sheet name="Чек_л_ФП" sheetId="18" r:id="rId17"/>
    <sheet name="Чек_л_Лестницы" sheetId="22" r:id="rId18"/>
    <sheet name="Чек_л_СФ" sheetId="19" r:id="rId19"/>
    <sheet name="Чек_л_ВертКонст" sheetId="20" r:id="rId20"/>
    <sheet name="Чек_л_ГорКонстр" sheetId="21" r:id="rId21"/>
  </sheets>
  <externalReferences>
    <externalReference r:id="rId22"/>
  </externalReferences>
  <definedNames>
    <definedName name="by">'[1]Ветер парапета'!$O$32</definedName>
    <definedName name="bу">'[1]Ветер парапета'!$O$32</definedName>
    <definedName name="dx">'[1]Ветер парапета'!$O$31</definedName>
    <definedName name="w">'[1]Ветер парапета'!$O$33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4" l="1"/>
  <c r="C5" i="26"/>
  <c r="D5" i="26"/>
  <c r="E5" i="26"/>
  <c r="F5" i="26"/>
  <c r="G5" i="26"/>
  <c r="H5" i="26"/>
  <c r="I5" i="26"/>
  <c r="J5" i="26"/>
  <c r="K5" i="26"/>
  <c r="L5" i="26"/>
  <c r="C24" i="26"/>
  <c r="D24" i="26"/>
  <c r="E24" i="26"/>
  <c r="F24" i="26"/>
  <c r="G24" i="26"/>
  <c r="H24" i="26"/>
  <c r="I24" i="26"/>
  <c r="J24" i="26"/>
  <c r="K24" i="26"/>
  <c r="L24" i="26"/>
  <c r="C46" i="26"/>
  <c r="D46" i="26"/>
  <c r="E46" i="26"/>
  <c r="F46" i="26"/>
  <c r="G46" i="26"/>
  <c r="H46" i="26"/>
  <c r="I46" i="26"/>
  <c r="J46" i="26"/>
  <c r="K46" i="26"/>
  <c r="L46" i="26"/>
  <c r="C65" i="26"/>
  <c r="D65" i="26"/>
  <c r="E65" i="26"/>
  <c r="F65" i="26"/>
  <c r="G65" i="26"/>
  <c r="H65" i="26"/>
  <c r="I65" i="26"/>
  <c r="J65" i="26"/>
  <c r="K65" i="26"/>
  <c r="L65" i="26"/>
  <c r="C87" i="26"/>
  <c r="D87" i="26"/>
  <c r="E87" i="26"/>
  <c r="F87" i="26"/>
  <c r="G87" i="26"/>
  <c r="H87" i="26"/>
  <c r="I87" i="26"/>
  <c r="J87" i="26"/>
  <c r="K87" i="26"/>
  <c r="L87" i="26"/>
  <c r="C106" i="26"/>
  <c r="D106" i="26"/>
  <c r="E106" i="26"/>
  <c r="F106" i="26"/>
  <c r="G106" i="26"/>
  <c r="H106" i="26"/>
  <c r="I106" i="26"/>
  <c r="J106" i="26"/>
  <c r="K106" i="26"/>
  <c r="L106" i="26"/>
  <c r="C127" i="26"/>
  <c r="D127" i="26"/>
  <c r="E127" i="26"/>
  <c r="F127" i="26"/>
  <c r="G127" i="26"/>
  <c r="H127" i="26"/>
  <c r="I127" i="26"/>
  <c r="J127" i="26"/>
  <c r="K127" i="26"/>
  <c r="L127" i="26"/>
  <c r="C146" i="26"/>
  <c r="D146" i="26"/>
  <c r="E146" i="26"/>
  <c r="F146" i="26"/>
  <c r="G146" i="26"/>
  <c r="H146" i="26"/>
  <c r="I146" i="26"/>
  <c r="J146" i="26"/>
  <c r="K146" i="26"/>
  <c r="L146" i="26"/>
  <c r="C168" i="26"/>
  <c r="D168" i="26"/>
  <c r="E168" i="26"/>
  <c r="F168" i="26"/>
  <c r="G168" i="26"/>
  <c r="H168" i="26"/>
  <c r="I168" i="26"/>
  <c r="J168" i="26"/>
  <c r="K168" i="26"/>
  <c r="L168" i="26"/>
  <c r="C187" i="26"/>
  <c r="D187" i="26"/>
  <c r="E187" i="26"/>
  <c r="F187" i="26"/>
  <c r="G187" i="26"/>
  <c r="H187" i="26"/>
  <c r="I187" i="26"/>
  <c r="J187" i="26"/>
  <c r="K187" i="26"/>
  <c r="L187" i="26"/>
  <c r="C210" i="26"/>
  <c r="D210" i="26"/>
  <c r="E210" i="26"/>
  <c r="F210" i="26"/>
  <c r="G210" i="26"/>
  <c r="H210" i="26"/>
  <c r="I210" i="26"/>
  <c r="J210" i="26"/>
  <c r="K210" i="26"/>
  <c r="L210" i="26"/>
  <c r="C229" i="26"/>
  <c r="D229" i="26"/>
  <c r="E229" i="26"/>
  <c r="F229" i="26"/>
  <c r="G229" i="26"/>
  <c r="H229" i="26"/>
  <c r="I229" i="26"/>
  <c r="J229" i="26"/>
  <c r="K229" i="26"/>
  <c r="L229" i="26"/>
  <c r="D46" i="4"/>
  <c r="E46" i="4"/>
  <c r="E48" i="4" s="1"/>
  <c r="F46" i="4"/>
  <c r="F48" i="4" s="1"/>
  <c r="G46" i="4"/>
  <c r="G48" i="4" s="1"/>
  <c r="H46" i="4"/>
  <c r="I46" i="4"/>
  <c r="J46" i="4"/>
  <c r="K46" i="4"/>
  <c r="K48" i="4" s="1"/>
  <c r="D47" i="4"/>
  <c r="D49" i="4" s="1"/>
  <c r="E47" i="4"/>
  <c r="E49" i="4" s="1"/>
  <c r="F47" i="4"/>
  <c r="F49" i="4" s="1"/>
  <c r="G47" i="4"/>
  <c r="G49" i="4" s="1"/>
  <c r="H47" i="4"/>
  <c r="I47" i="4"/>
  <c r="I49" i="4" s="1"/>
  <c r="J47" i="4"/>
  <c r="J49" i="4" s="1"/>
  <c r="K47" i="4"/>
  <c r="K49" i="4" s="1"/>
  <c r="D48" i="4"/>
  <c r="H48" i="4"/>
  <c r="I48" i="4"/>
  <c r="J48" i="4"/>
  <c r="H49" i="4"/>
  <c r="C49" i="4"/>
  <c r="C48" i="4"/>
  <c r="C47" i="4"/>
  <c r="C46" i="4"/>
  <c r="AC29" i="15" l="1"/>
  <c r="AG29" i="15" s="1"/>
  <c r="AF22" i="15"/>
  <c r="AF21" i="15"/>
  <c r="AF20" i="15"/>
  <c r="AF19" i="15"/>
  <c r="AF18" i="15"/>
  <c r="AD13" i="15" s="1"/>
  <c r="AD12" i="15"/>
  <c r="AI29" i="15" s="1"/>
  <c r="AD11" i="15"/>
  <c r="AH29" i="15" s="1"/>
  <c r="C12" i="24"/>
  <c r="C10" i="24"/>
  <c r="C9" i="24"/>
  <c r="G3" i="24"/>
  <c r="G5" i="24"/>
  <c r="G9" i="24" s="1"/>
  <c r="G7" i="24"/>
  <c r="G11" i="24" l="1"/>
  <c r="G12" i="24" s="1"/>
  <c r="G17" i="24"/>
  <c r="AF23" i="15"/>
  <c r="AF24" i="15" s="1"/>
  <c r="AE29" i="15"/>
  <c r="AF29" i="15"/>
  <c r="G13" i="24"/>
  <c r="G10" i="24"/>
  <c r="AE13" i="23"/>
  <c r="AE21" i="23" s="1"/>
  <c r="AE9" i="23"/>
  <c r="AE17" i="23" s="1"/>
  <c r="F6" i="17"/>
  <c r="N6" i="17"/>
  <c r="F7" i="17"/>
  <c r="N7" i="17"/>
  <c r="F8" i="17"/>
  <c r="N8" i="17"/>
  <c r="W8" i="17"/>
  <c r="F9" i="17"/>
  <c r="N9" i="17"/>
  <c r="W9" i="17"/>
  <c r="F10" i="17"/>
  <c r="N10" i="17"/>
  <c r="W11" i="17"/>
  <c r="AE17" i="17"/>
  <c r="AE18" i="17"/>
  <c r="Q20" i="17"/>
  <c r="R20" i="17"/>
  <c r="S20" i="17"/>
  <c r="T20" i="17"/>
  <c r="U20" i="17"/>
  <c r="V20" i="17"/>
  <c r="W20" i="17"/>
  <c r="X20" i="17"/>
  <c r="Y20" i="17"/>
  <c r="Z20" i="17"/>
  <c r="AE20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K7" i="16"/>
  <c r="R7" i="16"/>
  <c r="K8" i="16"/>
  <c r="K9" i="16"/>
  <c r="K10" i="16"/>
  <c r="K6" i="16" s="1"/>
  <c r="E13" i="16"/>
  <c r="K13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J9" i="15"/>
  <c r="T9" i="15"/>
  <c r="T19" i="15" s="1"/>
  <c r="T24" i="15" s="1"/>
  <c r="T26" i="15" s="1"/>
  <c r="C14" i="15"/>
  <c r="D14" i="15"/>
  <c r="E14" i="15"/>
  <c r="F14" i="15"/>
  <c r="Y48" i="15"/>
  <c r="Z48" i="15"/>
  <c r="AA48" i="15"/>
  <c r="AB48" i="15"/>
  <c r="C15" i="15"/>
  <c r="D15" i="15"/>
  <c r="E15" i="15"/>
  <c r="F15" i="15"/>
  <c r="J15" i="15"/>
  <c r="J17" i="15" s="1"/>
  <c r="O15" i="15"/>
  <c r="P28" i="15" s="1"/>
  <c r="T15" i="15"/>
  <c r="Y49" i="15"/>
  <c r="Z49" i="15"/>
  <c r="AA49" i="15"/>
  <c r="AB49" i="15"/>
  <c r="C16" i="15"/>
  <c r="D16" i="15"/>
  <c r="E16" i="15"/>
  <c r="F16" i="15"/>
  <c r="Y50" i="15"/>
  <c r="Z50" i="15"/>
  <c r="AA50" i="15"/>
  <c r="AB50" i="15"/>
  <c r="C17" i="15"/>
  <c r="D17" i="15"/>
  <c r="E17" i="15"/>
  <c r="F17" i="15"/>
  <c r="Y51" i="15"/>
  <c r="Z51" i="15"/>
  <c r="AA51" i="15"/>
  <c r="AB51" i="15"/>
  <c r="C18" i="15"/>
  <c r="D18" i="15"/>
  <c r="E18" i="15"/>
  <c r="F18" i="15"/>
  <c r="Y53" i="15"/>
  <c r="Z53" i="15"/>
  <c r="AA53" i="15"/>
  <c r="AB53" i="15"/>
  <c r="C20" i="15"/>
  <c r="D20" i="15"/>
  <c r="E20" i="15"/>
  <c r="F20" i="15"/>
  <c r="Y54" i="15"/>
  <c r="Z54" i="15"/>
  <c r="AA54" i="15"/>
  <c r="AB54" i="15"/>
  <c r="C21" i="15"/>
  <c r="D21" i="15"/>
  <c r="E21" i="15"/>
  <c r="F21" i="15"/>
  <c r="Y55" i="15"/>
  <c r="Z55" i="15"/>
  <c r="AA55" i="15"/>
  <c r="AB55" i="15"/>
  <c r="C22" i="15"/>
  <c r="D22" i="15"/>
  <c r="E22" i="15"/>
  <c r="F22" i="15"/>
  <c r="Y56" i="15"/>
  <c r="Z56" i="15"/>
  <c r="AA56" i="15"/>
  <c r="AB56" i="15"/>
  <c r="C23" i="15"/>
  <c r="D23" i="15"/>
  <c r="E23" i="15"/>
  <c r="F23" i="15"/>
  <c r="Y57" i="15"/>
  <c r="Z57" i="15"/>
  <c r="AA57" i="15"/>
  <c r="AB57" i="15"/>
  <c r="Z28" i="15"/>
  <c r="I35" i="15"/>
  <c r="Q35" i="15"/>
  <c r="P36" i="15" s="1"/>
  <c r="I36" i="15"/>
  <c r="I37" i="15"/>
  <c r="P37" i="15"/>
  <c r="I38" i="15"/>
  <c r="I39" i="15"/>
  <c r="I44" i="15"/>
  <c r="U44" i="15"/>
  <c r="U45" i="15" s="1"/>
  <c r="U46" i="15" s="1"/>
  <c r="U47" i="15" s="1"/>
  <c r="U48" i="15" s="1"/>
  <c r="U49" i="15" s="1"/>
  <c r="I45" i="15"/>
  <c r="I46" i="15"/>
  <c r="I47" i="15"/>
  <c r="O47" i="15"/>
  <c r="I48" i="15"/>
  <c r="O51" i="15"/>
  <c r="F60" i="15"/>
  <c r="G60" i="15"/>
  <c r="H60" i="15"/>
  <c r="O62" i="15"/>
  <c r="A64" i="15"/>
  <c r="D64" i="15" s="1"/>
  <c r="F66" i="15"/>
  <c r="G66" i="15"/>
  <c r="H66" i="15"/>
  <c r="A70" i="15"/>
  <c r="D70" i="15" s="1"/>
  <c r="T70" i="15"/>
  <c r="V70" i="15"/>
  <c r="F73" i="15"/>
  <c r="G73" i="15"/>
  <c r="H73" i="15"/>
  <c r="A77" i="15"/>
  <c r="D77" i="15" s="1"/>
  <c r="B77" i="15"/>
  <c r="C77" i="15"/>
  <c r="E77" i="15"/>
  <c r="G77" i="15"/>
  <c r="J77" i="15"/>
  <c r="K77" i="15"/>
  <c r="L77" i="15"/>
  <c r="F80" i="15"/>
  <c r="G80" i="15"/>
  <c r="H80" i="15"/>
  <c r="A84" i="15"/>
  <c r="I84" i="15" s="1"/>
  <c r="F87" i="15"/>
  <c r="K87" i="15" s="1"/>
  <c r="P87" i="15" s="1"/>
  <c r="G87" i="15"/>
  <c r="L87" i="15" s="1"/>
  <c r="Q87" i="15" s="1"/>
  <c r="H87" i="15"/>
  <c r="M87" i="15" s="1"/>
  <c r="R87" i="15" s="1"/>
  <c r="A91" i="15"/>
  <c r="E91" i="15" s="1"/>
  <c r="C95" i="15"/>
  <c r="E95" i="15"/>
  <c r="H95" i="15"/>
  <c r="I95" i="15"/>
  <c r="M95" i="15"/>
  <c r="N95" i="15"/>
  <c r="O95" i="15"/>
  <c r="P95" i="15"/>
  <c r="Q95" i="15"/>
  <c r="R95" i="15"/>
  <c r="S95" i="15"/>
  <c r="T95" i="15"/>
  <c r="U95" i="15"/>
  <c r="V95" i="15"/>
  <c r="F101" i="15"/>
  <c r="K101" i="15" s="1"/>
  <c r="Q101" i="15" s="1"/>
  <c r="G101" i="15"/>
  <c r="L101" i="15" s="1"/>
  <c r="R101" i="15" s="1"/>
  <c r="H101" i="15"/>
  <c r="M101" i="15" s="1"/>
  <c r="S101" i="15" s="1"/>
  <c r="I101" i="15"/>
  <c r="A105" i="15"/>
  <c r="K105" i="15" s="1"/>
  <c r="D109" i="15"/>
  <c r="E109" i="15"/>
  <c r="G109" i="15"/>
  <c r="H109" i="15"/>
  <c r="I109" i="15"/>
  <c r="J109" i="15"/>
  <c r="K109" i="15"/>
  <c r="L109" i="15"/>
  <c r="M109" i="15"/>
  <c r="P109" i="15"/>
  <c r="Q109" i="15"/>
  <c r="S109" i="15"/>
  <c r="T109" i="15"/>
  <c r="V109" i="15"/>
  <c r="F115" i="15"/>
  <c r="G115" i="15"/>
  <c r="L115" i="15" s="1"/>
  <c r="R115" i="15" s="1"/>
  <c r="H115" i="15"/>
  <c r="M115" i="15" s="1"/>
  <c r="S115" i="15" s="1"/>
  <c r="I115" i="15"/>
  <c r="K115" i="15"/>
  <c r="Q115" i="15" s="1"/>
  <c r="B116" i="15"/>
  <c r="A119" i="15"/>
  <c r="H119" i="15" s="1"/>
  <c r="D123" i="15"/>
  <c r="E123" i="15"/>
  <c r="G123" i="15"/>
  <c r="H123" i="15"/>
  <c r="I123" i="15"/>
  <c r="J123" i="15"/>
  <c r="K123" i="15"/>
  <c r="L123" i="15"/>
  <c r="M123" i="15"/>
  <c r="P123" i="15"/>
  <c r="Q123" i="15"/>
  <c r="S123" i="15"/>
  <c r="T123" i="15"/>
  <c r="V123" i="15"/>
  <c r="W123" i="15"/>
  <c r="F129" i="15"/>
  <c r="G129" i="15"/>
  <c r="H129" i="15"/>
  <c r="A133" i="15"/>
  <c r="C133" i="15" s="1"/>
  <c r="B133" i="15"/>
  <c r="F138" i="15"/>
  <c r="G138" i="15"/>
  <c r="H138" i="15"/>
  <c r="A142" i="15"/>
  <c r="I142" i="15" s="1"/>
  <c r="M119" i="15" l="1"/>
  <c r="M105" i="15"/>
  <c r="N11" i="17"/>
  <c r="AE19" i="17"/>
  <c r="Q91" i="15"/>
  <c r="P91" i="15"/>
  <c r="I77" i="15"/>
  <c r="O119" i="15"/>
  <c r="N119" i="15"/>
  <c r="N105" i="15"/>
  <c r="F77" i="15"/>
  <c r="B64" i="15"/>
  <c r="A144" i="15"/>
  <c r="B91" i="15"/>
  <c r="G133" i="15"/>
  <c r="F133" i="15"/>
  <c r="H77" i="15"/>
  <c r="H84" i="15"/>
  <c r="L105" i="15"/>
  <c r="O91" i="15"/>
  <c r="K119" i="15"/>
  <c r="K125" i="15" s="1"/>
  <c r="J105" i="15"/>
  <c r="J111" i="15" s="1"/>
  <c r="N91" i="15"/>
  <c r="N97" i="15" s="1"/>
  <c r="J119" i="15"/>
  <c r="J125" i="15" s="1"/>
  <c r="I105" i="15"/>
  <c r="I111" i="15" s="1"/>
  <c r="W119" i="15"/>
  <c r="W125" i="15" s="1"/>
  <c r="I119" i="15"/>
  <c r="I125" i="15" s="1"/>
  <c r="G105" i="15"/>
  <c r="G111" i="15" s="1"/>
  <c r="L91" i="15"/>
  <c r="L119" i="15"/>
  <c r="L125" i="15" s="1"/>
  <c r="X119" i="15"/>
  <c r="M91" i="15"/>
  <c r="M97" i="15" s="1"/>
  <c r="V119" i="15"/>
  <c r="V125" i="15" s="1"/>
  <c r="G119" i="15"/>
  <c r="G125" i="15" s="1"/>
  <c r="B105" i="15"/>
  <c r="Y91" i="15"/>
  <c r="K91" i="15"/>
  <c r="O55" i="15"/>
  <c r="U119" i="15"/>
  <c r="I91" i="15"/>
  <c r="I97" i="15" s="1"/>
  <c r="S119" i="15"/>
  <c r="S125" i="15" s="1"/>
  <c r="E119" i="15"/>
  <c r="E125" i="15" s="1"/>
  <c r="W91" i="15"/>
  <c r="H91" i="15"/>
  <c r="H97" i="15" s="1"/>
  <c r="I64" i="15"/>
  <c r="R119" i="15"/>
  <c r="C119" i="15"/>
  <c r="X105" i="15"/>
  <c r="V91" i="15"/>
  <c r="V97" i="15" s="1"/>
  <c r="G91" i="15"/>
  <c r="G64" i="15"/>
  <c r="F119" i="15"/>
  <c r="X91" i="15"/>
  <c r="P119" i="15"/>
  <c r="B119" i="15"/>
  <c r="S105" i="15"/>
  <c r="S111" i="15" s="1"/>
  <c r="P97" i="15"/>
  <c r="U91" i="15"/>
  <c r="U97" i="15" s="1"/>
  <c r="F91" i="15"/>
  <c r="F64" i="15"/>
  <c r="R105" i="15"/>
  <c r="T91" i="15"/>
  <c r="T97" i="15" s="1"/>
  <c r="C91" i="15"/>
  <c r="C97" i="15" s="1"/>
  <c r="E64" i="15"/>
  <c r="P29" i="15"/>
  <c r="G16" i="24"/>
  <c r="G15" i="24"/>
  <c r="G14" i="24"/>
  <c r="X7" i="23"/>
  <c r="V7" i="23" s="1"/>
  <c r="P38" i="15"/>
  <c r="M125" i="15"/>
  <c r="I70" i="15"/>
  <c r="G70" i="15"/>
  <c r="Q119" i="15"/>
  <c r="D119" i="15"/>
  <c r="D125" i="15" s="1"/>
  <c r="F105" i="15"/>
  <c r="S91" i="15"/>
  <c r="S97" i="15" s="1"/>
  <c r="D91" i="15"/>
  <c r="F70" i="15"/>
  <c r="C64" i="15"/>
  <c r="L111" i="15"/>
  <c r="Q97" i="15"/>
  <c r="E70" i="15"/>
  <c r="K111" i="15"/>
  <c r="O28" i="15"/>
  <c r="F11" i="17"/>
  <c r="J70" i="15"/>
  <c r="P125" i="15"/>
  <c r="J133" i="15"/>
  <c r="V105" i="15"/>
  <c r="V111" i="15" s="1"/>
  <c r="C70" i="15"/>
  <c r="I133" i="15"/>
  <c r="H125" i="15"/>
  <c r="U105" i="15"/>
  <c r="O97" i="15"/>
  <c r="E97" i="15"/>
  <c r="B70" i="15"/>
  <c r="O57" i="15"/>
  <c r="E26" i="15"/>
  <c r="C38" i="15" s="1"/>
  <c r="Q125" i="15"/>
  <c r="M111" i="15"/>
  <c r="K5" i="16"/>
  <c r="R6" i="16" s="1"/>
  <c r="K20" i="17"/>
  <c r="AE21" i="17"/>
  <c r="F14" i="17"/>
  <c r="F15" i="17" s="1"/>
  <c r="R5" i="16"/>
  <c r="K15" i="16"/>
  <c r="J19" i="15"/>
  <c r="J24" i="15" s="1"/>
  <c r="J26" i="15" s="1"/>
  <c r="K28" i="15" s="1"/>
  <c r="J20" i="15"/>
  <c r="U28" i="15"/>
  <c r="H142" i="15"/>
  <c r="G142" i="15"/>
  <c r="H133" i="15"/>
  <c r="T105" i="15"/>
  <c r="T111" i="15" s="1"/>
  <c r="H105" i="15"/>
  <c r="H111" i="15" s="1"/>
  <c r="G84" i="15"/>
  <c r="F142" i="15"/>
  <c r="F84" i="15"/>
  <c r="E142" i="15"/>
  <c r="E84" i="15"/>
  <c r="D142" i="15"/>
  <c r="E133" i="15"/>
  <c r="Q105" i="15"/>
  <c r="Q111" i="15" s="1"/>
  <c r="E105" i="15"/>
  <c r="E111" i="15" s="1"/>
  <c r="D84" i="15"/>
  <c r="C142" i="15"/>
  <c r="D133" i="15"/>
  <c r="P105" i="15"/>
  <c r="P111" i="15" s="1"/>
  <c r="D105" i="15"/>
  <c r="D111" i="15" s="1"/>
  <c r="C84" i="15"/>
  <c r="B142" i="15"/>
  <c r="O105" i="15"/>
  <c r="C105" i="15"/>
  <c r="R91" i="15"/>
  <c r="R97" i="15" s="1"/>
  <c r="B84" i="15"/>
  <c r="H70" i="15"/>
  <c r="H64" i="15"/>
  <c r="L142" i="15"/>
  <c r="L84" i="15"/>
  <c r="K142" i="15"/>
  <c r="K84" i="15"/>
  <c r="J142" i="15"/>
  <c r="T119" i="15"/>
  <c r="T125" i="15" s="1"/>
  <c r="W105" i="15"/>
  <c r="J84" i="15"/>
  <c r="K12" i="16" l="1"/>
  <c r="E38" i="15"/>
  <c r="C35" i="15"/>
  <c r="C32" i="15"/>
  <c r="D35" i="15"/>
  <c r="D31" i="15"/>
  <c r="D37" i="15"/>
  <c r="D39" i="15"/>
  <c r="C40" i="15"/>
  <c r="C37" i="15"/>
  <c r="X8" i="23"/>
  <c r="V8" i="23" s="1"/>
  <c r="E31" i="15"/>
  <c r="C31" i="15"/>
  <c r="D33" i="15"/>
  <c r="D40" i="15"/>
  <c r="E37" i="15"/>
  <c r="E33" i="15"/>
  <c r="F35" i="15"/>
  <c r="E39" i="15"/>
  <c r="E40" i="15"/>
  <c r="E32" i="15"/>
  <c r="E35" i="15"/>
  <c r="D38" i="15"/>
  <c r="D32" i="15"/>
  <c r="F31" i="15"/>
  <c r="F33" i="15"/>
  <c r="F32" i="15"/>
  <c r="O29" i="15"/>
  <c r="O30" i="15"/>
  <c r="P11" i="16"/>
  <c r="F38" i="15"/>
  <c r="C33" i="15"/>
  <c r="F37" i="15"/>
  <c r="F39" i="15"/>
  <c r="F40" i="15"/>
  <c r="C39" i="15"/>
  <c r="N13" i="17"/>
  <c r="J18" i="16"/>
  <c r="C35" i="13"/>
  <c r="B34" i="13" s="1"/>
  <c r="B36" i="13" s="1"/>
  <c r="C23" i="13"/>
  <c r="B22" i="13" s="1"/>
  <c r="C10" i="13"/>
  <c r="B9" i="13" s="1"/>
  <c r="C7" i="12"/>
  <c r="O5" i="12"/>
  <c r="AC13" i="11"/>
  <c r="AA13" i="11"/>
  <c r="AC12" i="11"/>
  <c r="AB12" i="11"/>
  <c r="AA12" i="11"/>
  <c r="AF6" i="11"/>
  <c r="AE6" i="11"/>
  <c r="AD6" i="11"/>
  <c r="AH4" i="11"/>
  <c r="AF4" i="11"/>
  <c r="AH3" i="11"/>
  <c r="AG3" i="11"/>
  <c r="AF3" i="11"/>
  <c r="AC4" i="11"/>
  <c r="AA4" i="11"/>
  <c r="AC3" i="11"/>
  <c r="AB3" i="11"/>
  <c r="AA3" i="11"/>
  <c r="X9" i="23" l="1"/>
  <c r="C6" i="12"/>
  <c r="D6" i="12" s="1"/>
  <c r="N5" i="12" s="1"/>
  <c r="D9" i="13"/>
  <c r="C9" i="13"/>
  <c r="B11" i="13"/>
  <c r="B24" i="13"/>
  <c r="D22" i="13"/>
  <c r="C22" i="13"/>
  <c r="D36" i="13"/>
  <c r="C36" i="13"/>
  <c r="C34" i="13"/>
  <c r="D34" i="13"/>
  <c r="AD12" i="11"/>
  <c r="AD13" i="11" s="1"/>
  <c r="AB13" i="11" s="1"/>
  <c r="D16" i="11" s="1"/>
  <c r="AI3" i="11"/>
  <c r="AI4" i="11" s="1"/>
  <c r="AG4" i="11" s="1"/>
  <c r="AD3" i="11"/>
  <c r="AD4" i="11" s="1"/>
  <c r="AB4" i="11" s="1"/>
  <c r="E6" i="12" l="1"/>
  <c r="N6" i="12" s="1"/>
  <c r="C8" i="12"/>
  <c r="E8" i="12" s="1"/>
  <c r="P6" i="12" s="1"/>
  <c r="D35" i="13"/>
  <c r="E38" i="13" s="1"/>
  <c r="D24" i="13"/>
  <c r="C24" i="13"/>
  <c r="D11" i="13"/>
  <c r="C11" i="13"/>
  <c r="AG6" i="11"/>
  <c r="AG7" i="11" s="1"/>
  <c r="AE7" i="11" s="1"/>
  <c r="E8" i="11" s="1"/>
  <c r="K6" i="4"/>
  <c r="L6" i="4" s="1"/>
  <c r="M6" i="4" s="1"/>
  <c r="N6" i="4" s="1"/>
  <c r="C33" i="4"/>
  <c r="C32" i="4"/>
  <c r="K27" i="4"/>
  <c r="J27" i="4"/>
  <c r="I27" i="4"/>
  <c r="H27" i="4"/>
  <c r="G27" i="4"/>
  <c r="F27" i="4"/>
  <c r="E27" i="4"/>
  <c r="D27" i="4"/>
  <c r="C27" i="4"/>
  <c r="C30" i="4" s="1"/>
  <c r="K26" i="4"/>
  <c r="J26" i="4"/>
  <c r="I26" i="4"/>
  <c r="H26" i="4"/>
  <c r="G26" i="4"/>
  <c r="F26" i="4"/>
  <c r="E26" i="4"/>
  <c r="D26" i="4"/>
  <c r="C26" i="4"/>
  <c r="C29" i="4" s="1"/>
  <c r="K24" i="4"/>
  <c r="K33" i="4" s="1"/>
  <c r="K38" i="4" s="1"/>
  <c r="J24" i="4"/>
  <c r="J33" i="4" s="1"/>
  <c r="J38" i="4" s="1"/>
  <c r="I24" i="4"/>
  <c r="I33" i="4" s="1"/>
  <c r="I38" i="4" s="1"/>
  <c r="H24" i="4"/>
  <c r="H32" i="4" s="1"/>
  <c r="H37" i="4" s="1"/>
  <c r="G24" i="4"/>
  <c r="G32" i="4" s="1"/>
  <c r="G37" i="4" s="1"/>
  <c r="F24" i="4"/>
  <c r="F32" i="4" s="1"/>
  <c r="F37" i="4" s="1"/>
  <c r="E24" i="4"/>
  <c r="E33" i="4" s="1"/>
  <c r="E38" i="4" s="1"/>
  <c r="D24" i="4"/>
  <c r="D33" i="4" s="1"/>
  <c r="D38" i="4" s="1"/>
  <c r="K23" i="4"/>
  <c r="J23" i="4"/>
  <c r="I23" i="4"/>
  <c r="H23" i="4"/>
  <c r="G23" i="4"/>
  <c r="F23" i="4"/>
  <c r="E23" i="4"/>
  <c r="D23" i="4"/>
  <c r="C23" i="4"/>
  <c r="K17" i="4"/>
  <c r="K20" i="4" s="1"/>
  <c r="J17" i="4"/>
  <c r="J21" i="4" s="1"/>
  <c r="I17" i="4"/>
  <c r="I21" i="4" s="1"/>
  <c r="H17" i="4"/>
  <c r="H19" i="4" s="1"/>
  <c r="G17" i="4"/>
  <c r="G19" i="4" s="1"/>
  <c r="F17" i="4"/>
  <c r="F19" i="4" s="1"/>
  <c r="E17" i="4"/>
  <c r="E18" i="4" s="1"/>
  <c r="D17" i="4"/>
  <c r="D19" i="4" s="1"/>
  <c r="C17" i="4"/>
  <c r="C19" i="4" s="1"/>
  <c r="Q5" i="12" l="1"/>
  <c r="D8" i="12"/>
  <c r="P5" i="12" s="1"/>
  <c r="Q6" i="12" s="1"/>
  <c r="O6" i="12" s="1"/>
  <c r="E7" i="12" s="1"/>
  <c r="D10" i="13"/>
  <c r="E13" i="13" s="1"/>
  <c r="D23" i="13"/>
  <c r="E26" i="13" s="1"/>
  <c r="G29" i="4"/>
  <c r="J30" i="4"/>
  <c r="D20" i="4"/>
  <c r="I29" i="4"/>
  <c r="J29" i="4"/>
  <c r="K29" i="4"/>
  <c r="I32" i="4"/>
  <c r="I37" i="4" s="1"/>
  <c r="J32" i="4"/>
  <c r="J37" i="4" s="1"/>
  <c r="K32" i="4"/>
  <c r="K37" i="4" s="1"/>
  <c r="K19" i="4"/>
  <c r="C20" i="4"/>
  <c r="D29" i="4"/>
  <c r="G30" i="4"/>
  <c r="E29" i="4"/>
  <c r="H30" i="4"/>
  <c r="D18" i="4"/>
  <c r="F29" i="4"/>
  <c r="I30" i="4"/>
  <c r="F33" i="4"/>
  <c r="F38" i="4" s="1"/>
  <c r="G33" i="4"/>
  <c r="G38" i="4" s="1"/>
  <c r="H20" i="4"/>
  <c r="I20" i="4"/>
  <c r="H33" i="4"/>
  <c r="H38" i="4" s="1"/>
  <c r="C18" i="4"/>
  <c r="J20" i="4"/>
  <c r="H18" i="4"/>
  <c r="D30" i="4"/>
  <c r="E30" i="4"/>
  <c r="D32" i="4"/>
  <c r="D37" i="4" s="1"/>
  <c r="I18" i="4"/>
  <c r="J18" i="4"/>
  <c r="F30" i="4"/>
  <c r="E32" i="4"/>
  <c r="E37" i="4" s="1"/>
  <c r="F21" i="4"/>
  <c r="E19" i="4"/>
  <c r="K21" i="4"/>
  <c r="F18" i="4"/>
  <c r="I19" i="4"/>
  <c r="C21" i="4"/>
  <c r="G18" i="4"/>
  <c r="J19" i="4"/>
  <c r="D21" i="4"/>
  <c r="H29" i="4"/>
  <c r="K30" i="4"/>
  <c r="E21" i="4"/>
  <c r="G21" i="4"/>
  <c r="K18" i="4"/>
  <c r="E20" i="4"/>
  <c r="H21" i="4"/>
  <c r="F20" i="4"/>
  <c r="G20" i="4"/>
  <c r="D10" i="12" l="1"/>
  <c r="D12" i="12" s="1"/>
  <c r="B29" i="12" s="1"/>
  <c r="D20" i="5"/>
  <c r="D19" i="5"/>
  <c r="D18" i="5"/>
  <c r="D17" i="5"/>
  <c r="D16" i="5"/>
  <c r="D15" i="5"/>
  <c r="D14" i="5"/>
  <c r="E13" i="5"/>
  <c r="D13" i="5"/>
  <c r="E12" i="5"/>
  <c r="D12" i="5"/>
  <c r="E11" i="5"/>
  <c r="D11" i="5"/>
  <c r="E10" i="5"/>
  <c r="D10" i="5"/>
  <c r="E9" i="5"/>
  <c r="D9" i="5"/>
  <c r="H8" i="5"/>
  <c r="E8" i="5"/>
  <c r="D8" i="5"/>
  <c r="E7" i="5"/>
  <c r="D7" i="5"/>
  <c r="E6" i="5"/>
  <c r="D6" i="5"/>
  <c r="H5" i="5"/>
  <c r="K11" i="4"/>
  <c r="L11" i="4"/>
  <c r="M11" i="4"/>
  <c r="N11" i="4"/>
  <c r="N8" i="4"/>
  <c r="N9" i="4"/>
  <c r="N10" i="4"/>
  <c r="N7" i="4"/>
  <c r="M8" i="4"/>
  <c r="M9" i="4"/>
  <c r="M10" i="4"/>
  <c r="M7" i="4"/>
  <c r="L8" i="4"/>
  <c r="L9" i="4"/>
  <c r="L10" i="4"/>
  <c r="L7" i="4"/>
  <c r="K8" i="4"/>
  <c r="K9" i="4"/>
  <c r="K10" i="4"/>
  <c r="K7" i="4"/>
  <c r="B28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4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Ширина балки</t>
        </r>
      </text>
    </comment>
    <comment ref="B5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Высота балки</t>
        </r>
      </text>
    </comment>
    <comment ref="B6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04"/>
          </rPr>
          <t>Защитный слой до центра растянутой арматуры</t>
        </r>
      </text>
    </comment>
    <comment ref="B8" authorId="0" shapeId="0" xr:uid="{00000000-0006-0000-0800-000004000000}">
      <text>
        <r>
          <rPr>
            <b/>
            <sz val="9"/>
            <color indexed="81"/>
            <rFont val="Tahoma"/>
            <family val="2"/>
            <charset val="204"/>
          </rPr>
          <t>Класс бетона</t>
        </r>
      </text>
    </comment>
    <comment ref="B9" authorId="0" shapeId="0" xr:uid="{00000000-0006-0000-0800-000005000000}">
      <text>
        <r>
          <rPr>
            <b/>
            <sz val="9"/>
            <color indexed="81"/>
            <rFont val="Tahoma"/>
            <family val="2"/>
            <charset val="204"/>
          </rPr>
          <t>Расчетное значение сопротивления бетона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" authorId="0" shapeId="0" xr:uid="{00000000-0006-0000-0800-000006000000}">
      <text>
        <r>
          <rPr>
            <b/>
            <sz val="9"/>
            <color indexed="81"/>
            <rFont val="Tahoma"/>
            <family val="2"/>
            <charset val="204"/>
          </rPr>
          <t>Расчетное значение сопротивления бетона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" authorId="0" shapeId="0" xr:uid="{00000000-0006-0000-0800-000007000000}">
      <text>
        <r>
          <rPr>
            <b/>
            <sz val="9"/>
            <color indexed="81"/>
            <rFont val="Tahoma"/>
            <family val="2"/>
            <charset val="204"/>
          </rPr>
          <t>Класс арматуры</t>
        </r>
      </text>
    </comment>
    <comment ref="B12" authorId="0" shapeId="0" xr:uid="{00000000-0006-0000-0800-000008000000}">
      <text>
        <r>
          <rPr>
            <b/>
            <sz val="9"/>
            <color indexed="81"/>
            <rFont val="Tahoma"/>
            <family val="2"/>
            <charset val="204"/>
          </rPr>
          <t>Расчетное значение сопротивления арматуры растяжению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9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Коэффициент, учитывающий влияние вида поверхности арматуры, принимаемый равным    
1,5 - для гладкой арматуры;
2,0 - для холоднодеформируемой арматуры периодического профиля;
2,5 - для горячекатаной и термомеханически обработанной арматуры периодического профиля.</t>
        </r>
      </text>
    </comment>
    <comment ref="F9" authorId="0" shapeId="0" xr:uid="{00000000-0006-0000-09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Коэффициент, учитывающий влияние размера диаметра арматуры, принимаемый равным    
1,0 - при диаметре арматуры ds&lt;=32 мм;
0,9 - при диаметре арматуры 36 и 40 мм.</t>
        </r>
      </text>
    </comment>
    <comment ref="F10" authorId="0" shapeId="0" xr:uid="{00000000-0006-0000-09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Коэффициент, учитывающий влияние на длину анкеровки напряженного состояния бетона и арматуры и конструктивного решения элемента в зоне анкеровки    
1 - для растянутых стержней;
0,75 - для сжатых стержней.</t>
        </r>
      </text>
    </comment>
    <comment ref="F11" authorId="0" shapeId="0" xr:uid="{00000000-0006-0000-0900-000004000000}">
      <text>
        <r>
          <rPr>
            <sz val="11"/>
            <color theme="1"/>
            <rFont val="Calibri"/>
            <family val="2"/>
            <charset val="204"/>
            <scheme val="minor"/>
          </rPr>
          <t>Площадь поперечного сечения арматуры, требуемая по расчету</t>
        </r>
      </text>
    </comment>
    <comment ref="F12" authorId="0" shapeId="0" xr:uid="{00000000-0006-0000-0900-000005000000}">
      <text>
        <r>
          <rPr>
            <sz val="11"/>
            <color theme="1"/>
            <rFont val="Calibri"/>
            <family val="2"/>
            <charset val="204"/>
            <scheme val="minor"/>
          </rPr>
          <t>Площадь поперечного сечения арматуры фактически установленной</t>
        </r>
      </text>
    </comment>
    <comment ref="F16" authorId="0" shapeId="0" xr:uid="{00000000-0006-0000-0900-000006000000}">
      <text>
        <r>
          <rPr>
            <sz val="11"/>
            <color theme="1"/>
            <rFont val="Calibri"/>
            <family val="2"/>
            <charset val="204"/>
            <scheme val="minor"/>
          </rPr>
          <t>Коэффициент, учитывающий влияние напряженного состояния арматуры, конструктивного решения элемента в зоне соединения стержней и т.д 
1,2 - для растянутых стержней;
0,9 - для сжатых стержней.</t>
        </r>
      </text>
    </comment>
  </commentList>
</comments>
</file>

<file path=xl/sharedStrings.xml><?xml version="1.0" encoding="utf-8"?>
<sst xmlns="http://schemas.openxmlformats.org/spreadsheetml/2006/main" count="3090" uniqueCount="934">
  <si>
    <t>b</t>
  </si>
  <si>
    <t>h</t>
  </si>
  <si>
    <t>см</t>
  </si>
  <si>
    <t>H</t>
  </si>
  <si>
    <t>lo=0,8H</t>
  </si>
  <si>
    <t>lo/i=</t>
  </si>
  <si>
    <t>lo/i</t>
  </si>
  <si>
    <t>армирование</t>
  </si>
  <si>
    <t>процент армирования</t>
  </si>
  <si>
    <t>i=0,289hо</t>
  </si>
  <si>
    <t>СТЕНЫ</t>
  </si>
  <si>
    <t>ПЛИТЫ</t>
  </si>
  <si>
    <t>(изгибаемые элементы)</t>
  </si>
  <si>
    <t>шаг</t>
  </si>
  <si>
    <t>КОЛОННЫ (ПИЛОНЫ в запас)</t>
  </si>
  <si>
    <t>(внецентренно сжатые элементы)</t>
  </si>
  <si>
    <t>lo/h</t>
  </si>
  <si>
    <t>lo/h=</t>
  </si>
  <si>
    <t>Для стен</t>
  </si>
  <si>
    <t>Для колонн</t>
  </si>
  <si>
    <t>Для плит</t>
  </si>
  <si>
    <t>Определение минимального процента армирования</t>
  </si>
  <si>
    <t>Выполнено на основании п.10.3.6 СП 63.13330-2018</t>
  </si>
  <si>
    <t>см2</t>
  </si>
  <si>
    <t>d</t>
  </si>
  <si>
    <t xml:space="preserve">шаг </t>
  </si>
  <si>
    <t>S</t>
  </si>
  <si>
    <t>фон.арм</t>
  </si>
  <si>
    <t>фоновая + дополнительная</t>
  </si>
  <si>
    <t>???</t>
  </si>
  <si>
    <t>- вводим вручную</t>
  </si>
  <si>
    <t>- смотрим результат</t>
  </si>
  <si>
    <t>NNN</t>
  </si>
  <si>
    <t>диаметр</t>
  </si>
  <si>
    <t>Переходные муфты ATС25/20Т, ATС28/25Т, ATС32/25Т</t>
  </si>
  <si>
    <t>Муфты с конической резьбой  ATС25S, ATС28S, ATС32S</t>
  </si>
  <si>
    <t xml:space="preserve">К2-ARMTECH-C с конической резьбой </t>
  </si>
  <si>
    <t>К2-ARMTECH-P с метрической резьбой (прямой)</t>
  </si>
  <si>
    <t>Муфты с метрической резьбой (прямой) ATP25S, ATP28S, ATP32S</t>
  </si>
  <si>
    <t>РАСЧЕТ ПЛОЩАДИ</t>
  </si>
  <si>
    <t>Кол-во стержней</t>
  </si>
  <si>
    <t xml:space="preserve">Бетон </t>
  </si>
  <si>
    <t>вертикальные</t>
  </si>
  <si>
    <t>горизонтальные</t>
  </si>
  <si>
    <t>ускорение</t>
  </si>
  <si>
    <t>В25</t>
  </si>
  <si>
    <t>В30</t>
  </si>
  <si>
    <t>В35</t>
  </si>
  <si>
    <t>В40</t>
  </si>
  <si>
    <t>Ео
(СП 63)</t>
  </si>
  <si>
    <t>В50</t>
  </si>
  <si>
    <t>СП 335.1325800.2017 КРУПНОПАНЕЛЬНЫЕ КОНСТРУКТИВНЫЕ СИСТЕМЫ</t>
  </si>
  <si>
    <t>eta_w</t>
  </si>
  <si>
    <r>
      <t>H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=</t>
    </r>
  </si>
  <si>
    <t>- высота этажа в свету</t>
  </si>
  <si>
    <t>d=</t>
  </si>
  <si>
    <t>- длина простенка</t>
  </si>
  <si>
    <t>d/H0</t>
  </si>
  <si>
    <t>раскрепленная</t>
  </si>
  <si>
    <t>консольная</t>
  </si>
  <si>
    <r>
      <t>dH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=</t>
    </r>
  </si>
  <si>
    <t>Связи:</t>
  </si>
  <si>
    <t>С одной стороны</t>
  </si>
  <si>
    <t>- выбрать</t>
  </si>
  <si>
    <r>
      <t>l</t>
    </r>
    <r>
      <rPr>
        <sz val="8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=</t>
    </r>
  </si>
  <si>
    <t>- коэффициент расчётной высота</t>
  </si>
  <si>
    <t>Не раскреплена</t>
  </si>
  <si>
    <t>С двух сторон</t>
  </si>
  <si>
    <t>2x125</t>
  </si>
  <si>
    <t>2x250</t>
  </si>
  <si>
    <t>нахлест</t>
  </si>
  <si>
    <t>Ø32</t>
  </si>
  <si>
    <t>Ø25</t>
  </si>
  <si>
    <t>Ø28</t>
  </si>
  <si>
    <t>Ø20</t>
  </si>
  <si>
    <t>Ø16</t>
  </si>
  <si>
    <t>Толщина</t>
  </si>
  <si>
    <t>B25</t>
  </si>
  <si>
    <t>B30</t>
  </si>
  <si>
    <t>B35</t>
  </si>
  <si>
    <t>B40</t>
  </si>
  <si>
    <t>№ п.п.</t>
  </si>
  <si>
    <t>ds, мм</t>
  </si>
  <si>
    <t>n, шт.</t>
  </si>
  <si>
    <t>As, мм²</t>
  </si>
  <si>
    <t>As</t>
  </si>
  <si>
    <t>мм²</t>
  </si>
  <si>
    <t>μs</t>
  </si>
  <si>
    <t>%</t>
  </si>
  <si>
    <t>Сечение</t>
  </si>
  <si>
    <t>мм</t>
  </si>
  <si>
    <t>a</t>
  </si>
  <si>
    <t>Ab</t>
  </si>
  <si>
    <t>Как растянутый</t>
  </si>
  <si>
    <t>h02 (Z)</t>
  </si>
  <si>
    <t>h01 (Y)</t>
  </si>
  <si>
    <t>Ео
т/м2</t>
  </si>
  <si>
    <t>т/м2</t>
  </si>
  <si>
    <t>Eb Мпа</t>
  </si>
  <si>
    <t xml:space="preserve">Характеристики бетонов </t>
  </si>
  <si>
    <t>Марка бетона</t>
  </si>
  <si>
    <t>В20</t>
  </si>
  <si>
    <t>В45</t>
  </si>
  <si>
    <t>В55</t>
  </si>
  <si>
    <t>В60</t>
  </si>
  <si>
    <t>Eb тс/м2</t>
  </si>
  <si>
    <t>0.6Eb</t>
  </si>
  <si>
    <t>0.3Eb</t>
  </si>
  <si>
    <t>0.2Eb</t>
  </si>
  <si>
    <t>0.85</t>
  </si>
  <si>
    <t>Rb</t>
  </si>
  <si>
    <t>0.85*Rb</t>
  </si>
  <si>
    <t>Rbt</t>
  </si>
  <si>
    <t>0.3*Rb</t>
  </si>
  <si>
    <t>0.85*0.3*Rb</t>
  </si>
  <si>
    <t>- для стен и диафрагм (выше 1,5 м)</t>
  </si>
  <si>
    <t>0.3*Rb/Rbt</t>
  </si>
  <si>
    <t>0.85*0.3*Rb/Rbt</t>
  </si>
  <si>
    <t>2.5Rbt</t>
  </si>
  <si>
    <t>3.5Rbt</t>
  </si>
  <si>
    <t>- для балок и коротких консолей</t>
  </si>
  <si>
    <t>ширина</t>
  </si>
  <si>
    <t>высота</t>
  </si>
  <si>
    <t>т</t>
  </si>
  <si>
    <t>Для вставки в ЛИРУ тс/м2</t>
  </si>
  <si>
    <t>По СП МПа</t>
  </si>
  <si>
    <t>нейтральные сетки ФП по 10.4.14</t>
  </si>
  <si>
    <t>аз.с.</t>
  </si>
  <si>
    <t>сжатой</t>
  </si>
  <si>
    <t>кол-во нейтральных сеток -</t>
  </si>
  <si>
    <t>шаг -</t>
  </si>
  <si>
    <t>As,нейтрал =</t>
  </si>
  <si>
    <t>см2/м</t>
  </si>
  <si>
    <t>Сочетание нагрузок</t>
  </si>
  <si>
    <t>Схема для анализа</t>
  </si>
  <si>
    <t>Модули деформации (вертикал/горизонтал)</t>
  </si>
  <si>
    <t>Контролируемое значение</t>
  </si>
  <si>
    <r>
      <t xml:space="preserve">1. РСН1 (Расч. верт.) </t>
    </r>
    <r>
      <rPr>
        <sz val="11"/>
        <color theme="1"/>
        <rFont val="Calibri"/>
        <family val="2"/>
        <charset val="204"/>
        <scheme val="minor"/>
      </rPr>
      <t>сочетание от действия всех вертикальных расчетных (постоянные, длительные и кратковременные) нагрузок для определения усилий в вертикальных несущих конструкциях (без учета ветра);</t>
    </r>
  </si>
  <si>
    <t>E1_v01.lir</t>
  </si>
  <si>
    <t>0,6/0,3</t>
  </si>
  <si>
    <t>N, M, Q, 
армирование предварительно, 
(по РСУ окончательно)</t>
  </si>
  <si>
    <r>
      <t xml:space="preserve">2. РСН2 (Норм. верт.) </t>
    </r>
    <r>
      <rPr>
        <sz val="11"/>
        <color theme="1"/>
        <rFont val="Calibri"/>
        <family val="2"/>
        <charset val="204"/>
        <scheme val="minor"/>
      </rPr>
      <t>сочетание от действия всех вертикальных нормативных (постоянные, длительные и кратковременные) нагрузок для определения горизонтального перемещения здания и усилий в вертикальных несущих конструкциях (без учета ветра);</t>
    </r>
  </si>
  <si>
    <t xml:space="preserve">ΔX, ΔY
(без учета ветра)
</t>
  </si>
  <si>
    <r>
      <t xml:space="preserve">3. РСН3 (Норм. длит.) </t>
    </r>
    <r>
      <rPr>
        <sz val="11"/>
        <color theme="1"/>
        <rFont val="Calibri"/>
        <family val="2"/>
        <charset val="204"/>
        <scheme val="minor"/>
      </rPr>
      <t>сочетание от действия всех вертикальных нормативных постоянных и длительных нагрузок (в т.ч. пониженного значения кратковременной нагрузки) для определения среднего давления под подошвой фундаментов, подбор коэффициентов постели, определения осадок здания и прогибов плит перекрытий, для расчетов по огнестойкости;</t>
    </r>
  </si>
  <si>
    <t>E0_v01.lir</t>
  </si>
  <si>
    <t>0,6/0,2</t>
  </si>
  <si>
    <t>Pz, Rz, C1zo, s, Δs/L - ФП
Δz - перекрытия, 
REI</t>
  </si>
  <si>
    <r>
      <t xml:space="preserve">4. РСН4 (Расч.+ОХ) </t>
    </r>
    <r>
      <rPr>
        <sz val="11"/>
        <color theme="1"/>
        <rFont val="Calibri"/>
        <family val="2"/>
        <charset val="204"/>
        <scheme val="minor"/>
      </rPr>
      <t>сочетание от действия всех расчетных вертикальных и горизонтальных нагрузок, действующие по направлению оси ОХ, для определения усилий в несущих конструкциях;</t>
    </r>
  </si>
  <si>
    <t>N, M, Q</t>
  </si>
  <si>
    <r>
      <t>5. РСН5 (Расч.-ОХ)</t>
    </r>
    <r>
      <rPr>
        <sz val="11"/>
        <color theme="1"/>
        <rFont val="Calibri"/>
        <family val="2"/>
        <charset val="204"/>
        <scheme val="minor"/>
      </rPr>
      <t xml:space="preserve"> сочетание от действия всех расчетных вертикальных и горизонтальных нагрузок, действующие против направления оси ОХ, для определения усилий в несущих конструкциях;</t>
    </r>
  </si>
  <si>
    <r>
      <t xml:space="preserve">6. РСН6 (Расч.+ОУ) </t>
    </r>
    <r>
      <rPr>
        <sz val="11"/>
        <color theme="1"/>
        <rFont val="Calibri"/>
        <family val="2"/>
        <charset val="204"/>
        <scheme val="minor"/>
      </rPr>
      <t>сочетание от действия всех расчетных вертикальных и горизонтальных нагрузок, действующие по направлению оси ОУ, для определения усилий в несущих конструкциях;</t>
    </r>
  </si>
  <si>
    <r>
      <t>7. РСН7 (Расч.-ОУ)</t>
    </r>
    <r>
      <rPr>
        <sz val="11"/>
        <color theme="1"/>
        <rFont val="Calibri"/>
        <family val="2"/>
        <charset val="204"/>
        <scheme val="minor"/>
      </rPr>
      <t xml:space="preserve"> сочетание от действия всех расчетных вертикальных и горизонтальных нагрузок, действующие против направления оси ОУ, для определения усилий в несущих конструкциях;</t>
    </r>
  </si>
  <si>
    <r>
      <t>8. РСН8 (Норм. длит.+ОХ)</t>
    </r>
    <r>
      <rPr>
        <sz val="11"/>
        <color theme="1"/>
        <rFont val="Calibri"/>
        <family val="2"/>
        <charset val="204"/>
        <scheme val="minor"/>
      </rPr>
      <t xml:space="preserve"> сочетание от действия всех нормативных постоянных и длительных (в т.ч. пониженного значения кратковременной нагрузки) вертикальных и горизонтальных нагрузок, действующие по направлению оси ОХ, для определения горизонтальных перемещений верха здания;</t>
    </r>
  </si>
  <si>
    <t>E2_v01.lir</t>
  </si>
  <si>
    <t>0,85/0,85
С1 = 8хС1zo</t>
  </si>
  <si>
    <t>ΔХ</t>
  </si>
  <si>
    <r>
      <t xml:space="preserve">9. РСН9 (Норм. длит.-ОХ) </t>
    </r>
    <r>
      <rPr>
        <sz val="11"/>
        <color theme="1"/>
        <rFont val="Calibri"/>
        <family val="2"/>
        <charset val="204"/>
        <scheme val="minor"/>
      </rPr>
      <t>сочетание от действия всех нормативных постоянных и длительных (в т.ч. пониженного значения кратковременной нагрузки) вертикальных и горизонтальных нагрузок, действующие против направления оси ОХ, для определения горизонтальных перемещений верха здания;</t>
    </r>
  </si>
  <si>
    <t>0,85/0,85
С1= 8хС1zo</t>
  </si>
  <si>
    <r>
      <t>10. РСН10 (Норм. длит.+ОУ)</t>
    </r>
    <r>
      <rPr>
        <sz val="11"/>
        <color theme="1"/>
        <rFont val="Calibri"/>
        <family val="2"/>
        <charset val="204"/>
        <scheme val="minor"/>
      </rPr>
      <t xml:space="preserve"> сочетание от действия всех нормативных постоянных и длительных (в т.ч. пониженного значения кратковременной нагрузки) вертикальных и горизонтальных нагрузок, действующие по направлению оси ОУ, для определения горизонтальных перемещений верха здания;</t>
    </r>
  </si>
  <si>
    <t>ΔY</t>
  </si>
  <si>
    <r>
      <t>11. РСН11 (Норм. длит.-ОУ)</t>
    </r>
    <r>
      <rPr>
        <sz val="11"/>
        <color theme="1"/>
        <rFont val="Calibri"/>
        <family val="2"/>
        <charset val="204"/>
        <scheme val="minor"/>
      </rPr>
      <t xml:space="preserve"> сочетание от действия всех нормативных постоянных и длительных (в т.ч. пониженного значения кратковременной нагрузки) вертикальных и горизонтальных нагрузок, действующие против направления оси ОУ, для определения горизонтальных перемещений верха здания.</t>
    </r>
  </si>
  <si>
    <r>
      <t>12.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Ветровые пульсационные нагрузки.</t>
    </r>
  </si>
  <si>
    <t>a-ускорение</t>
  </si>
  <si>
    <t>Sormat</t>
  </si>
  <si>
    <t>https://ru.sormat.com/</t>
  </si>
  <si>
    <t>Fischer</t>
  </si>
  <si>
    <t>https://fischer-market.ru/</t>
  </si>
  <si>
    <t>OKG</t>
  </si>
  <si>
    <t>MKT</t>
  </si>
  <si>
    <t>http://www.mkt-anker.ru/</t>
  </si>
  <si>
    <t>https://www.mkt.de/ru/</t>
  </si>
  <si>
    <t>Таблица вычислений</t>
  </si>
  <si>
    <t xml:space="preserve"> Расчет значений методом интерполяции</t>
  </si>
  <si>
    <t>А1</t>
  </si>
  <si>
    <t>В1</t>
  </si>
  <si>
    <t>Промежуточное значение</t>
  </si>
  <si>
    <t>В2</t>
  </si>
  <si>
    <t>Одинарная  интерполяция</t>
  </si>
  <si>
    <t>Двойная  интерполяция</t>
  </si>
  <si>
    <t xml:space="preserve"> Расчет допустимого прогиба</t>
  </si>
  <si>
    <t>Фактическое значение пролета</t>
  </si>
  <si>
    <t>Пролет L1 по таблице Д.1</t>
  </si>
  <si>
    <t>Пролет L2 по таблице Д.1</t>
  </si>
  <si>
    <t>А</t>
  </si>
  <si>
    <t>Б</t>
  </si>
  <si>
    <t>Ячейка для заполнения</t>
  </si>
  <si>
    <r>
      <t xml:space="preserve"> Расчет коэффициента, учитывающего изменение  ветрового давления по высоте</t>
    </r>
    <r>
      <rPr>
        <b/>
        <u/>
        <sz val="16"/>
        <color rgb="FF1616FE"/>
        <rFont val="Calibri"/>
        <family val="2"/>
        <charset val="204"/>
      </rPr>
      <t xml:space="preserve"> </t>
    </r>
    <r>
      <rPr>
        <b/>
        <u/>
        <sz val="16"/>
        <color rgb="FF1616FE"/>
        <rFont val="Arial"/>
        <family val="2"/>
        <charset val="204"/>
      </rPr>
      <t>согласно Таблице 11.2 СП20.13330.2016</t>
    </r>
  </si>
  <si>
    <r>
      <t xml:space="preserve">Исходные данные </t>
    </r>
    <r>
      <rPr>
        <b/>
        <u/>
        <sz val="12"/>
        <color indexed="10"/>
        <rFont val="Arial Cyr"/>
        <charset val="204"/>
      </rPr>
      <t>(заполнять только зеленые ячейки, розовые ячейки заполняются автоматически!)</t>
    </r>
  </si>
  <si>
    <t>Расчет для местности тип А</t>
  </si>
  <si>
    <t>Таблица 11.2</t>
  </si>
  <si>
    <t>№         п/п</t>
  </si>
  <si>
    <t>Высота      Ze, м</t>
  </si>
  <si>
    <t>Коэффициент k для типов местности</t>
  </si>
  <si>
    <t>Расчетная высота Ze=</t>
  </si>
  <si>
    <t>В</t>
  </si>
  <si>
    <t>С</t>
  </si>
  <si>
    <r>
      <t xml:space="preserve">   Коэффициент Кze</t>
    </r>
    <r>
      <rPr>
        <b/>
        <sz val="10"/>
        <color rgb="FF0070C0"/>
        <rFont val="Arial"/>
        <family val="2"/>
        <charset val="204"/>
      </rPr>
      <t xml:space="preserve"> =</t>
    </r>
  </si>
  <si>
    <t>Расчет для местности тип В</t>
  </si>
  <si>
    <t>dsw, мм</t>
  </si>
  <si>
    <t>15d</t>
  </si>
  <si>
    <t>10d</t>
  </si>
  <si>
    <t>Определение поперечного армирования</t>
  </si>
  <si>
    <t>h01 (Y)/2</t>
  </si>
  <si>
    <t>h02 (Z)/2</t>
  </si>
  <si>
    <t>0,25ds</t>
  </si>
  <si>
    <t>Предельно допустимый прогиб по СП 20.13330</t>
  </si>
  <si>
    <t>Фактическое значение прогиба</t>
  </si>
  <si>
    <t>Коэффициент использования</t>
  </si>
  <si>
    <t>Фоновое армирование ф10/ф10</t>
  </si>
  <si>
    <t>Бетон</t>
  </si>
  <si>
    <t>Арм-ра</t>
  </si>
  <si>
    <t>А500</t>
  </si>
  <si>
    <t>Толщ. b</t>
  </si>
  <si>
    <t>ц.т. верхней а'=</t>
  </si>
  <si>
    <t>ц.т. нижней а=</t>
  </si>
  <si>
    <t>мин</t>
  </si>
  <si>
    <t>время τ=</t>
  </si>
  <si>
    <t>Верхнее</t>
  </si>
  <si>
    <t>10/250+16/125</t>
  </si>
  <si>
    <t>10/250+12/125</t>
  </si>
  <si>
    <t>10/250+10/125</t>
  </si>
  <si>
    <t>10/250+12/250</t>
  </si>
  <si>
    <t>10/250+10/250</t>
  </si>
  <si>
    <t>10/250</t>
  </si>
  <si>
    <t>Нижнее</t>
  </si>
  <si>
    <t>8/250+16/125</t>
  </si>
  <si>
    <t>8/250+12/125</t>
  </si>
  <si>
    <t>8/250+10/250</t>
  </si>
  <si>
    <t>8/250+8/250</t>
  </si>
  <si>
    <t>8/250</t>
  </si>
  <si>
    <t>16/250+20/125</t>
  </si>
  <si>
    <t>16/250+16/125</t>
  </si>
  <si>
    <t>16/250+20/250</t>
  </si>
  <si>
    <t>16/250+16/250</t>
  </si>
  <si>
    <t>16/250</t>
  </si>
  <si>
    <t>10/250+20/250</t>
  </si>
  <si>
    <t>Нижний слой по ах1 (1 слой)</t>
  </si>
  <si>
    <t>Нижний слой по ay1 (2 слой)</t>
  </si>
  <si>
    <t>Фоновое армирование ф10/ф10_B40
Плита над ПЧ ПИК</t>
  </si>
  <si>
    <t>Фоновое армирование ф10/ф8_B30
Плита типового ПИК</t>
  </si>
  <si>
    <t>Фоновое армирование ф10/ф10_B30
Плита над ПЧ ПИК</t>
  </si>
  <si>
    <t>Фоновое армирование ф16/ф16_B30
Плита над паркингом ПИК</t>
  </si>
  <si>
    <t>12/250</t>
  </si>
  <si>
    <t>12/250+12/250</t>
  </si>
  <si>
    <t>12/250+16/250</t>
  </si>
  <si>
    <t>12/250+12/125</t>
  </si>
  <si>
    <t>12/250+16/125</t>
  </si>
  <si>
    <t>12/250+20/125</t>
  </si>
  <si>
    <t>Фоновое армирование ф12/ф12_B30
Плита типового ПИК</t>
  </si>
  <si>
    <r>
      <t>13.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Частоты форм колебаний и формы собственных колебаний от ветра</t>
    </r>
  </si>
  <si>
    <t>частоты/формы</t>
  </si>
  <si>
    <t>Высота помещения H, м</t>
  </si>
  <si>
    <t>до 6м</t>
  </si>
  <si>
    <t>Выше 6м</t>
  </si>
  <si>
    <t>Толщина стен</t>
  </si>
  <si>
    <t>Цвет</t>
  </si>
  <si>
    <t>фон</t>
  </si>
  <si>
    <t>=</t>
  </si>
  <si>
    <t>+</t>
  </si>
  <si>
    <t>1слой</t>
  </si>
  <si>
    <t>сил.Y  d =</t>
  </si>
  <si>
    <t>2слой</t>
  </si>
  <si>
    <t>сил.X  d =</t>
  </si>
  <si>
    <t>Шкала</t>
  </si>
  <si>
    <t>в осях</t>
  </si>
  <si>
    <t>ставим на слой 1, подпираем слой 3</t>
  </si>
  <si>
    <t>ставим на слой 2, подпираем слой 4</t>
  </si>
  <si>
    <t>3слой</t>
  </si>
  <si>
    <t>4слой</t>
  </si>
  <si>
    <t>растянут</t>
  </si>
  <si>
    <t>каркас d =</t>
  </si>
  <si>
    <t>Силовой:</t>
  </si>
  <si>
    <t>уже ставим 10d, меньше 15d</t>
  </si>
  <si>
    <r>
      <rPr>
        <sz val="11"/>
        <color theme="1"/>
        <rFont val="Calibri"/>
        <family val="2"/>
        <charset val="204"/>
      </rPr>
      <t>см</t>
    </r>
    <r>
      <rPr>
        <vertAlign val="superscript"/>
        <sz val="11"/>
        <color theme="1"/>
        <rFont val="Calibri"/>
        <family val="2"/>
        <charset val="204"/>
      </rPr>
      <t>2</t>
    </r>
  </si>
  <si>
    <t>ставим на слой 2, подпираем слой 3</t>
  </si>
  <si>
    <t>гор    d =</t>
  </si>
  <si>
    <r>
      <rPr>
        <strike/>
        <sz val="10"/>
        <color theme="1"/>
        <rFont val="Calibri"/>
        <family val="2"/>
        <charset val="204"/>
      </rPr>
      <t>Ø</t>
    </r>
    <r>
      <rPr>
        <strike/>
        <sz val="11"/>
        <color theme="1"/>
        <rFont val="Calibri"/>
        <family val="2"/>
        <charset val="204"/>
      </rPr>
      <t>25</t>
    </r>
  </si>
  <si>
    <t>Поддерживающий / лягушка:</t>
  </si>
  <si>
    <r>
      <rPr>
        <strike/>
        <sz val="11"/>
        <color theme="1"/>
        <rFont val="Calibri"/>
        <family val="2"/>
        <charset val="204"/>
      </rPr>
      <t>Ø</t>
    </r>
    <r>
      <rPr>
        <strike/>
        <sz val="11"/>
        <color theme="1"/>
        <rFont val="Calibri"/>
        <family val="2"/>
        <charset val="204"/>
      </rPr>
      <t>32</t>
    </r>
  </si>
  <si>
    <t>фон   d =</t>
  </si>
  <si>
    <t>(введи / проверь  данные выше)</t>
  </si>
  <si>
    <t>Каркасы:</t>
  </si>
  <si>
    <t>шаг 250</t>
  </si>
  <si>
    <t>рекомендуется</t>
  </si>
  <si>
    <r>
      <rPr>
        <sz val="10"/>
        <color theme="1"/>
        <rFont val="Calibri"/>
        <family val="2"/>
        <charset val="204"/>
      </rPr>
      <t>Ø</t>
    </r>
    <r>
      <rPr>
        <sz val="11"/>
        <color theme="1"/>
        <rFont val="Calibri"/>
        <family val="2"/>
        <charset val="204"/>
      </rPr>
      <t>25</t>
    </r>
  </si>
  <si>
    <r>
      <rPr>
        <sz val="11"/>
        <color theme="1"/>
        <rFont val="Calibri"/>
        <family val="2"/>
        <charset val="204"/>
      </rPr>
      <t>Ø</t>
    </r>
    <r>
      <rPr>
        <sz val="11"/>
        <color theme="1"/>
        <rFont val="Calibri"/>
        <family val="2"/>
        <charset val="204"/>
      </rPr>
      <t>32</t>
    </r>
  </si>
  <si>
    <t>реком</t>
  </si>
  <si>
    <t>арм-е</t>
  </si>
  <si>
    <r>
      <rPr>
        <sz val="11"/>
        <color theme="1"/>
        <rFont val="Calibri"/>
        <family val="2"/>
        <charset val="204"/>
      </rPr>
      <t>ho=h-а</t>
    </r>
    <r>
      <rPr>
        <vertAlign val="subscript"/>
        <sz val="11"/>
        <color theme="1"/>
        <rFont val="Calibri"/>
        <family val="2"/>
        <charset val="204"/>
      </rPr>
      <t>з.с.</t>
    </r>
  </si>
  <si>
    <r>
      <rPr>
        <sz val="11"/>
        <color theme="1"/>
        <rFont val="Calibri"/>
        <family val="2"/>
        <charset val="204"/>
      </rPr>
      <t>а</t>
    </r>
    <r>
      <rPr>
        <vertAlign val="subscript"/>
        <sz val="11"/>
        <color theme="1"/>
        <rFont val="Calibri"/>
        <family val="2"/>
        <charset val="204"/>
      </rPr>
      <t>з.с.</t>
    </r>
  </si>
  <si>
    <t>A500</t>
  </si>
  <si>
    <t>Lр.н.</t>
  </si>
  <si>
    <t>2,3Lр.н</t>
  </si>
  <si>
    <t>2Lр.а.</t>
  </si>
  <si>
    <t>1,3Lр.н.</t>
  </si>
  <si>
    <t>Lсж.а.</t>
  </si>
  <si>
    <t>Lр.а.</t>
  </si>
  <si>
    <t>Lсж.н.</t>
  </si>
  <si>
    <t>D (арм.)</t>
  </si>
  <si>
    <t>Cжатие</t>
  </si>
  <si>
    <t>Растяжение-</t>
  </si>
  <si>
    <t>Растя-жение</t>
  </si>
  <si>
    <t>сжатие</t>
  </si>
  <si>
    <t>растя-жение</t>
  </si>
  <si>
    <t>Стыковка</t>
  </si>
  <si>
    <t>Анкеровка</t>
  </si>
  <si>
    <t>Нахлест</t>
  </si>
  <si>
    <t>Сжатые в одном сечении</t>
  </si>
  <si>
    <t>Длина3</t>
  </si>
  <si>
    <t>Длина2</t>
  </si>
  <si>
    <t>Длина 3</t>
  </si>
  <si>
    <t>Длина анкеровки сжатой</t>
  </si>
  <si>
    <t>Длина анкеровки растянутой</t>
  </si>
  <si>
    <t>Длина нахлеста сжатого</t>
  </si>
  <si>
    <t>Длина нахлеста 
 растянутого</t>
  </si>
  <si>
    <t>Диаметр, мм</t>
  </si>
  <si>
    <t>Масса 1 пог. м, кг</t>
  </si>
  <si>
    <r>
      <rPr>
        <sz val="8"/>
        <color theme="1"/>
        <rFont val="Century Gothic"/>
        <family val="2"/>
        <charset val="204"/>
      </rPr>
      <t>Площадь поперечного сечения, см</t>
    </r>
    <r>
      <rPr>
        <vertAlign val="superscript"/>
        <sz val="8"/>
        <color theme="1"/>
        <rFont val="Century Gothic"/>
        <family val="2"/>
        <charset val="204"/>
      </rPr>
      <t>2</t>
    </r>
    <r>
      <rPr>
        <sz val="8"/>
        <color theme="1"/>
        <rFont val="Century Gothic"/>
        <family val="2"/>
        <charset val="204"/>
      </rPr>
      <t>, при числе стержней</t>
    </r>
  </si>
  <si>
    <t>А1000</t>
  </si>
  <si>
    <t>А800</t>
  </si>
  <si>
    <t>А600</t>
  </si>
  <si>
    <t>А400</t>
  </si>
  <si>
    <t>B20</t>
  </si>
  <si>
    <t>B15</t>
  </si>
  <si>
    <t>B12,5</t>
  </si>
  <si>
    <t>B10</t>
  </si>
  <si>
    <t>B7,5</t>
  </si>
  <si>
    <t>B5</t>
  </si>
  <si>
    <t>B3,5</t>
  </si>
  <si>
    <t>А240</t>
  </si>
  <si>
    <t>Итоговое значение анкеровки:</t>
  </si>
  <si>
    <r>
      <rPr>
        <sz val="11"/>
        <color theme="1"/>
        <rFont val="Quattrocento Sans"/>
      </rPr>
      <t>α</t>
    </r>
    <r>
      <rPr>
        <vertAlign val="subscript"/>
        <sz val="11"/>
        <color theme="1"/>
        <rFont val="Segoe UI Light"/>
        <family val="2"/>
        <charset val="204"/>
      </rPr>
      <t>2</t>
    </r>
  </si>
  <si>
    <r>
      <rPr>
        <sz val="11"/>
        <color theme="1"/>
        <rFont val="Quattrocento Sans"/>
      </rPr>
      <t>0,3*l</t>
    </r>
    <r>
      <rPr>
        <sz val="8"/>
        <color theme="1"/>
        <rFont val="Segoe UI Light"/>
        <family val="2"/>
        <charset val="204"/>
      </rPr>
      <t>0,an</t>
    </r>
    <r>
      <rPr>
        <sz val="11"/>
        <color theme="1"/>
        <rFont val="Segoe UI Light"/>
        <family val="2"/>
        <charset val="204"/>
      </rPr>
      <t>=</t>
    </r>
  </si>
  <si>
    <t>Дополнительные данные для расчета нахлестки:</t>
  </si>
  <si>
    <r>
      <rPr>
        <sz val="11"/>
        <color theme="1"/>
        <rFont val="Quattrocento Sans"/>
      </rPr>
      <t>15d</t>
    </r>
    <r>
      <rPr>
        <vertAlign val="subscript"/>
        <sz val="11"/>
        <color theme="1"/>
        <rFont val="Segoe UI Light"/>
        <family val="2"/>
        <charset val="204"/>
      </rPr>
      <t>s</t>
    </r>
    <r>
      <rPr>
        <sz val="11"/>
        <color theme="1"/>
        <rFont val="Segoe UI Light"/>
        <family val="2"/>
        <charset val="204"/>
      </rPr>
      <t>=</t>
    </r>
  </si>
  <si>
    <t>Использование арматуры:</t>
  </si>
  <si>
    <r>
      <rPr>
        <sz val="11"/>
        <color theme="1"/>
        <rFont val="Quattrocento Sans"/>
      </rPr>
      <t>l</t>
    </r>
    <r>
      <rPr>
        <sz val="8"/>
        <color theme="1"/>
        <rFont val="Segoe UI Light"/>
        <family val="2"/>
        <charset val="204"/>
      </rPr>
      <t>an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</si>
  <si>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A</t>
    </r>
    <r>
      <rPr>
        <vertAlign val="subscript"/>
        <sz val="12"/>
        <color theme="1"/>
        <rFont val="Segoe UI Light"/>
        <family val="2"/>
        <charset val="204"/>
      </rPr>
      <t>s,ef</t>
    </r>
    <r>
      <rPr>
        <sz val="12"/>
        <color theme="1"/>
        <rFont val="Segoe UI Light"/>
        <family val="2"/>
        <charset val="204"/>
      </rPr>
      <t xml:space="preserve">, </t>
    </r>
    <r>
      <rPr>
        <sz val="11"/>
        <color theme="1"/>
        <rFont val="Segoe UI Light"/>
        <family val="2"/>
        <charset val="204"/>
      </rPr>
      <t>см</t>
    </r>
    <r>
      <rPr>
        <vertAlign val="superscript"/>
        <sz val="11"/>
        <color theme="1"/>
        <rFont val="Segoe UI Light"/>
        <family val="2"/>
        <charset val="204"/>
      </rPr>
      <t>2</t>
    </r>
  </si>
  <si>
    <t>Требуемая длина анкеровки:</t>
  </si>
  <si>
    <r>
      <rPr>
        <sz val="11"/>
        <color theme="1"/>
        <rFont val="Quattrocento Sans"/>
      </rPr>
      <t>A</t>
    </r>
    <r>
      <rPr>
        <vertAlign val="subscript"/>
        <sz val="12"/>
        <color theme="1"/>
        <rFont val="Segoe UI Light"/>
        <family val="2"/>
        <charset val="204"/>
      </rPr>
      <t>s,cal</t>
    </r>
    <r>
      <rPr>
        <sz val="12"/>
        <color theme="1"/>
        <rFont val="Segoe UI Light"/>
        <family val="2"/>
        <charset val="204"/>
      </rPr>
      <t xml:space="preserve">, </t>
    </r>
    <r>
      <rPr>
        <sz val="11"/>
        <color theme="1"/>
        <rFont val="Segoe UI Light"/>
        <family val="2"/>
        <charset val="204"/>
      </rPr>
      <t>см</t>
    </r>
    <r>
      <rPr>
        <vertAlign val="superscript"/>
        <sz val="11"/>
        <color theme="1"/>
        <rFont val="Segoe UI Light"/>
        <family val="2"/>
        <charset val="204"/>
      </rPr>
      <t>2</t>
    </r>
  </si>
  <si>
    <t>Итоговое значение нахлестки:</t>
  </si>
  <si>
    <r>
      <rPr>
        <sz val="11"/>
        <color theme="1"/>
        <rFont val="Quattrocento Sans"/>
      </rPr>
      <t>кг/см</t>
    </r>
    <r>
      <rPr>
        <vertAlign val="superscript"/>
        <sz val="11"/>
        <color theme="1"/>
        <rFont val="Segoe UI Light"/>
        <family val="2"/>
        <charset val="204"/>
      </rPr>
      <t>2</t>
    </r>
  </si>
  <si>
    <r>
      <rPr>
        <sz val="11"/>
        <color theme="1"/>
        <rFont val="Quattrocento Sans"/>
      </rPr>
      <t>R</t>
    </r>
    <r>
      <rPr>
        <sz val="8"/>
        <color theme="1"/>
        <rFont val="Segoe UI Light"/>
        <family val="2"/>
        <charset val="204"/>
      </rPr>
      <t>bt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</si>
  <si>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α</t>
    </r>
    <r>
      <rPr>
        <vertAlign val="subscript"/>
        <sz val="11"/>
        <color theme="1"/>
        <rFont val="Segoe UI Light"/>
        <family val="2"/>
        <charset val="204"/>
      </rPr>
      <t>1</t>
    </r>
  </si>
  <si>
    <r>
      <rPr>
        <sz val="11"/>
        <color theme="1"/>
        <rFont val="Quattrocento Sans"/>
      </rPr>
      <t>u</t>
    </r>
    <r>
      <rPr>
        <sz val="8"/>
        <color theme="1"/>
        <rFont val="Segoe UI Light"/>
        <family val="2"/>
        <charset val="204"/>
      </rPr>
      <t>s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</si>
  <si>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η</t>
    </r>
    <r>
      <rPr>
        <vertAlign val="subscript"/>
        <sz val="11"/>
        <color theme="1"/>
        <rFont val="Segoe UI Light"/>
        <family val="2"/>
        <charset val="204"/>
      </rPr>
      <t>2</t>
    </r>
  </si>
  <si>
    <r>
      <rPr>
        <sz val="11"/>
        <color theme="1"/>
        <rFont val="Quattrocento Sans"/>
      </rPr>
      <t>A</t>
    </r>
    <r>
      <rPr>
        <sz val="8"/>
        <color theme="1"/>
        <rFont val="Segoe UI Light"/>
        <family val="2"/>
        <charset val="204"/>
      </rPr>
      <t>s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</si>
  <si>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η</t>
    </r>
    <r>
      <rPr>
        <vertAlign val="subscript"/>
        <sz val="11"/>
        <color theme="1"/>
        <rFont val="Segoe UI Light"/>
        <family val="2"/>
        <charset val="204"/>
      </rPr>
      <t>1</t>
    </r>
  </si>
  <si>
    <r>
      <rPr>
        <sz val="11"/>
        <color theme="1"/>
        <rFont val="Quattrocento Sans"/>
      </rPr>
      <t>20d</t>
    </r>
    <r>
      <rPr>
        <vertAlign val="subscript"/>
        <sz val="11"/>
        <color theme="1"/>
        <rFont val="Segoe UI Light"/>
        <family val="2"/>
        <charset val="204"/>
      </rPr>
      <t>s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</si>
  <si>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R</t>
    </r>
    <r>
      <rPr>
        <sz val="8"/>
        <color theme="1"/>
        <rFont val="Segoe UI Light"/>
        <family val="2"/>
        <charset val="204"/>
      </rPr>
      <t>s</t>
    </r>
    <r>
      <rPr>
        <sz val="11"/>
        <color theme="1"/>
        <rFont val="Segoe UI Light"/>
        <family val="2"/>
        <charset val="204"/>
      </rPr>
      <t>=</t>
    </r>
  </si>
  <si>
    <t>Класс бетона</t>
  </si>
  <si>
    <r>
      <rPr>
        <sz val="11"/>
        <color theme="1"/>
        <rFont val="Quattrocento Sans"/>
      </rPr>
      <t>0,4*α</t>
    </r>
    <r>
      <rPr>
        <sz val="8"/>
        <color theme="1"/>
        <rFont val="Segoe UI Light"/>
        <family val="2"/>
        <charset val="204"/>
      </rPr>
      <t>2</t>
    </r>
    <r>
      <rPr>
        <sz val="11"/>
        <color theme="1"/>
        <rFont val="Segoe UI Light"/>
        <family val="2"/>
        <charset val="204"/>
      </rPr>
      <t>*l</t>
    </r>
    <r>
      <rPr>
        <sz val="8"/>
        <color theme="1"/>
        <rFont val="Segoe UI Light"/>
        <family val="2"/>
        <charset val="204"/>
      </rPr>
      <t>0,an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</si>
  <si>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R</t>
    </r>
    <r>
      <rPr>
        <sz val="8"/>
        <color theme="1"/>
        <rFont val="Segoe UI Light"/>
        <family val="2"/>
        <charset val="204"/>
      </rPr>
      <t>bond</t>
    </r>
    <r>
      <rPr>
        <sz val="11"/>
        <color theme="1"/>
        <rFont val="Segoe UI Light"/>
        <family val="2"/>
        <charset val="204"/>
      </rPr>
      <t>=</t>
    </r>
  </si>
  <si>
    <t>Диаметр арматуры, мм</t>
  </si>
  <si>
    <r>
      <rPr>
        <sz val="11"/>
        <color theme="1"/>
        <rFont val="Quattrocento Sans"/>
      </rPr>
      <t>l</t>
    </r>
    <r>
      <rPr>
        <sz val="8"/>
        <color theme="1"/>
        <rFont val="Segoe UI Light"/>
        <family val="2"/>
        <charset val="204"/>
      </rPr>
      <t>1</t>
    </r>
    <r>
      <rPr>
        <sz val="11"/>
        <color theme="1"/>
        <rFont val="Segoe UI Light"/>
        <family val="2"/>
        <charset val="204"/>
      </rPr>
      <t>=</t>
    </r>
  </si>
  <si>
    <r>
      <rPr>
        <sz val="11"/>
        <color theme="1"/>
        <rFont val="Quattrocento Sans"/>
      </rPr>
      <t>l</t>
    </r>
    <r>
      <rPr>
        <sz val="8"/>
        <color theme="1"/>
        <rFont val="Segoe UI Light"/>
        <family val="2"/>
        <charset val="204"/>
      </rPr>
      <t>0,an</t>
    </r>
    <r>
      <rPr>
        <sz val="11"/>
        <color theme="1"/>
        <rFont val="Segoe UI Light"/>
        <family val="2"/>
        <charset val="204"/>
      </rPr>
      <t>=</t>
    </r>
  </si>
  <si>
    <t>Класс арматуры</t>
  </si>
  <si>
    <t>Длина нахлестки арматуры:</t>
  </si>
  <si>
    <t>Вычисленные параметры:</t>
  </si>
  <si>
    <t>Исходные данные для расчета анкеровки:</t>
  </si>
  <si>
    <t>сумм</t>
  </si>
  <si>
    <t>Количество, шт</t>
  </si>
  <si>
    <t>→</t>
  </si>
  <si>
    <t>"1-2"</t>
  </si>
  <si>
    <t>Шаг, мм</t>
  </si>
  <si>
    <t>к.з.</t>
  </si>
  <si>
    <t>n</t>
  </si>
  <si>
    <t>Ø</t>
  </si>
  <si>
    <t>Таблица количества стержней при шаге</t>
  </si>
  <si>
    <t>Разбивка стержней на 2 диаметра</t>
  </si>
  <si>
    <t>s</t>
  </si>
  <si>
    <t>За вычетом распределённой:</t>
  </si>
  <si>
    <t>Распределенная арматура</t>
  </si>
  <si>
    <t xml:space="preserve"> </t>
  </si>
  <si>
    <t>С учетом распределенной:</t>
  </si>
  <si>
    <t>Процент распределения</t>
  </si>
  <si>
    <t>Низ</t>
  </si>
  <si>
    <r>
      <rPr>
        <sz val="11"/>
        <color theme="1"/>
        <rFont val="Quattrocento Sans"/>
      </rPr>
      <t>С учетом распределения, см</t>
    </r>
    <r>
      <rPr>
        <vertAlign val="superscript"/>
        <sz val="11"/>
        <color theme="1"/>
        <rFont val="Segoe UI Light"/>
        <family val="2"/>
        <charset val="204"/>
      </rPr>
      <t>2</t>
    </r>
    <r>
      <rPr>
        <sz val="11"/>
        <color theme="1"/>
        <rFont val="Segoe UI Light"/>
        <family val="2"/>
        <charset val="204"/>
      </rPr>
      <t>:</t>
    </r>
  </si>
  <si>
    <t>Итого:</t>
  </si>
  <si>
    <r>
      <rPr>
        <sz val="11"/>
        <color theme="1"/>
        <rFont val="Quattrocento Sans"/>
      </rPr>
      <t>Площадь нижней арматуры, см</t>
    </r>
    <r>
      <rPr>
        <vertAlign val="superscript"/>
        <sz val="11"/>
        <color theme="1"/>
        <rFont val="Segoe UI Light"/>
        <family val="2"/>
        <charset val="204"/>
      </rPr>
      <t>2</t>
    </r>
    <r>
      <rPr>
        <sz val="11"/>
        <color theme="1"/>
        <rFont val="Segoe UI Light"/>
        <family val="2"/>
        <charset val="204"/>
      </rPr>
      <t>:</t>
    </r>
  </si>
  <si>
    <t>Верх</t>
  </si>
  <si>
    <r>
      <rPr>
        <sz val="11"/>
        <color theme="1"/>
        <rFont val="Quattrocento Sans"/>
      </rPr>
      <t>Площадь за вычетом, см</t>
    </r>
    <r>
      <rPr>
        <vertAlign val="superscript"/>
        <sz val="11"/>
        <color theme="1"/>
        <rFont val="Segoe UI Light"/>
        <family val="2"/>
        <charset val="204"/>
      </rPr>
      <t>2</t>
    </r>
    <r>
      <rPr>
        <sz val="11"/>
        <color theme="1"/>
        <rFont val="Segoe UI Light"/>
        <family val="2"/>
        <charset val="204"/>
      </rPr>
      <t>:</t>
    </r>
  </si>
  <si>
    <r>
      <rPr>
        <sz val="11"/>
        <color theme="1"/>
        <rFont val="Quattrocento Sans"/>
      </rPr>
      <t>Площадь распределенная, см</t>
    </r>
    <r>
      <rPr>
        <vertAlign val="superscript"/>
        <sz val="11"/>
        <color theme="1"/>
        <rFont val="Segoe UI Light"/>
        <family val="2"/>
        <charset val="204"/>
      </rPr>
      <t>2</t>
    </r>
    <r>
      <rPr>
        <sz val="11"/>
        <color theme="1"/>
        <rFont val="Segoe UI Light"/>
        <family val="2"/>
        <charset val="204"/>
      </rPr>
      <t>:</t>
    </r>
  </si>
  <si>
    <t>Процент распределения:</t>
  </si>
  <si>
    <r>
      <rPr>
        <sz val="11"/>
        <color theme="1"/>
        <rFont val="Quattrocento Sans"/>
      </rPr>
      <t>Площадь верхней арматуры, см</t>
    </r>
    <r>
      <rPr>
        <vertAlign val="superscript"/>
        <sz val="11"/>
        <color theme="1"/>
        <rFont val="Segoe UI Light"/>
        <family val="2"/>
        <charset val="204"/>
      </rPr>
      <t>2</t>
    </r>
    <r>
      <rPr>
        <sz val="11"/>
        <color theme="1"/>
        <rFont val="Segoe UI Light"/>
        <family val="2"/>
        <charset val="204"/>
      </rPr>
      <t>:</t>
    </r>
  </si>
  <si>
    <r>
      <rPr>
        <sz val="11"/>
        <color theme="1"/>
        <rFont val="Quattrocento Sans"/>
      </rPr>
      <t>Площадь сечения стержней, см</t>
    </r>
    <r>
      <rPr>
        <vertAlign val="superscript"/>
        <sz val="11"/>
        <color theme="1"/>
        <rFont val="Segoe UI Light"/>
        <family val="2"/>
        <charset val="204"/>
      </rPr>
      <t>2</t>
    </r>
  </si>
  <si>
    <t>Нижняя арматура</t>
  </si>
  <si>
    <t>Верхняя арматура</t>
  </si>
  <si>
    <r>
      <rPr>
        <sz val="10"/>
        <color theme="1"/>
        <rFont val="Calibri"/>
        <family val="2"/>
        <charset val="204"/>
      </rPr>
      <t>Для бетона класс В, морозостойкость F, водонепроницаемость W 
(</t>
    </r>
    <r>
      <rPr>
        <u/>
        <sz val="10"/>
        <color theme="1"/>
        <rFont val="Calibri"/>
        <family val="2"/>
        <charset val="204"/>
      </rPr>
      <t>в соответсвии с ПД</t>
    </r>
    <r>
      <rPr>
        <sz val="10"/>
        <color theme="1"/>
        <rFont val="Calibri"/>
        <family val="2"/>
        <charset val="204"/>
      </rPr>
      <t>)</t>
    </r>
  </si>
  <si>
    <t>6. Спецификация, ведомость деталей</t>
  </si>
  <si>
    <t xml:space="preserve">Каркасы в зоне продавливания. 
Граница установки - не менее 1,5 h0 (рабочая высота)
Шаг - не более 1/3 h0 и не более 500 мм </t>
  </si>
  <si>
    <t>Диаметр поперечной арматуры не менее 8 мм А500С</t>
  </si>
  <si>
    <t>5. Поперечное армирование</t>
  </si>
  <si>
    <t>Длину горизонтальных сегментов П-образных элементов в торцах определять:
1. Если не требуется по расчету (свободный конец) - нахлест растянутый
2. Если требуется по расчету - двойная анкеровка растянутой арматуры</t>
  </si>
  <si>
    <t>Армирование лифтовых приямков оформлять фрагментами (схемы установки Г-образных стержней приямков)</t>
  </si>
  <si>
    <t>4. Схема расположения гнутых элементов</t>
  </si>
  <si>
    <t>Схемы установки дополнительного армирования (с шагом 250, 125 и т.п.)</t>
  </si>
  <si>
    <t>Защитный слой:
30 мм - верх (но не менее диаметра арматуры)
40 мм - низ</t>
  </si>
  <si>
    <t>Для плит толщиной 1000 мм и более - конструктивное армирование (средняя сетка) площадью сечения не менее 0,05% (на армируемую площадь - половина расстояния между соседними сетками). Шаг по высоте не более 800 мм и не более 1/2 толщины плиты (п. 10.4.14)</t>
  </si>
  <si>
    <t>Для плит толщиной 1 м и более расстояние в свету между стержнями рабочей арматуры по ширине сечения не менее 2,5 d, где d - диаметр рабочей арматуры (СП63...- п.10.4.14).
В зоне перехлеста фоновой арматуры обеспечить:
a - диаметр фоновой арматуры
b - диаметр дополнительной арматуры
s - шаг фоновой арматуры
(s-2*a-b)/2&gt;2,5*(a+b)/2 при шаге дополнительной s
(s-2*a-2b)/3&gt;2,5*(a+b)/2 при шаге дополнительной s/2</t>
  </si>
  <si>
    <t>Фоновое армирование не менее 0,1%</t>
  </si>
  <si>
    <r>
      <rPr>
        <sz val="10"/>
        <color theme="1"/>
        <rFont val="Calibri"/>
        <family val="2"/>
        <charset val="204"/>
      </rPr>
      <t>Типовое название "Фундаментная плита ПФм-</t>
    </r>
    <r>
      <rPr>
        <b/>
        <sz val="10"/>
        <color theme="1"/>
        <rFont val="Calibri"/>
        <family val="2"/>
        <charset val="204"/>
      </rPr>
      <t>Х</t>
    </r>
    <r>
      <rPr>
        <sz val="10"/>
        <color theme="1"/>
        <rFont val="Calibri"/>
        <family val="2"/>
        <charset val="204"/>
      </rPr>
      <t xml:space="preserve">. Нижнее армирование вдоль </t>
    </r>
    <r>
      <rPr>
        <b/>
        <sz val="10"/>
        <color theme="1"/>
        <rFont val="Calibri"/>
        <family val="2"/>
        <charset val="204"/>
      </rPr>
      <t>буквенных/цифровых</t>
    </r>
    <r>
      <rPr>
        <sz val="10"/>
        <color theme="1"/>
        <rFont val="Calibri"/>
        <family val="2"/>
        <charset val="204"/>
      </rPr>
      <t xml:space="preserve"> осей (</t>
    </r>
    <r>
      <rPr>
        <b/>
        <sz val="10"/>
        <color theme="1"/>
        <rFont val="Calibri"/>
        <family val="2"/>
        <charset val="204"/>
      </rPr>
      <t>X</t>
    </r>
    <r>
      <rPr>
        <sz val="10"/>
        <color theme="1"/>
        <rFont val="Calibri"/>
        <family val="2"/>
        <charset val="204"/>
      </rPr>
      <t xml:space="preserve"> слой)"</t>
    </r>
  </si>
  <si>
    <r>
      <rPr>
        <sz val="10"/>
        <color theme="1"/>
        <rFont val="Calibri"/>
        <family val="2"/>
        <charset val="204"/>
      </rPr>
      <t xml:space="preserve">Арматуру диаметром 14, 18, 22, 36, 40 </t>
    </r>
    <r>
      <rPr>
        <u/>
        <sz val="10"/>
        <color theme="1"/>
        <rFont val="Calibri"/>
        <family val="2"/>
        <charset val="204"/>
      </rPr>
      <t xml:space="preserve">не применять
</t>
    </r>
    <r>
      <rPr>
        <sz val="10"/>
        <color theme="1"/>
        <rFont val="Calibri"/>
        <family val="2"/>
        <charset val="204"/>
      </rPr>
      <t>(в зданиях выше 100 м 36-40 по согласованию с ТД)</t>
    </r>
  </si>
  <si>
    <t>3. Армирование</t>
  </si>
  <si>
    <t>Ссылка на решения по гидроизоляции</t>
  </si>
  <si>
    <t>Жук с указанием этажности зданий</t>
  </si>
  <si>
    <t>Сечения по ФП с размерами и отметками</t>
  </si>
  <si>
    <t>Каждый приямок привязан, образмерены габариты, установлены отметки дна с указанаем толщины днища приямка</t>
  </si>
  <si>
    <t>Сверка с АР. Наличие согласования ОАП+ОИС</t>
  </si>
  <si>
    <t>Наличие всех необходимых привязок и высотных отметок на сечениях</t>
  </si>
  <si>
    <t>2. Опалубка</t>
  </si>
  <si>
    <t>Количество листов в комлекте указано в штампе</t>
  </si>
  <si>
    <t>\\DISKSTATION\производство\ОСК\Вспомогательная\_СТО, учебные материалы\Общие данные_ОД_ТД\</t>
  </si>
  <si>
    <t>Текст общих указаний соответствует СТО ОСК</t>
  </si>
  <si>
    <t>ОУ. Указанные материалы соответствуют принятым в комплетке
Марка по водонипроницаемости не менее W6
Марка по морозостойкости не менее F150</t>
  </si>
  <si>
    <t>ОУ. Указанные нормативные документы соответствуют ПД и постановлениям правительства (1521, 985, 815)</t>
  </si>
  <si>
    <t>Удельный расход материалов (таблица) соответствует СТО ОСК и требованиям заказчика</t>
  </si>
  <si>
    <t>Общая ведомость расхода стали, кг</t>
  </si>
  <si>
    <t>Общая ведомость материалов (ДЛЯ БЕТОНА - Бетон B, W, F)</t>
  </si>
  <si>
    <t>Ведомость спецификаций 
(при 2 и более спецификаций в комплекте)</t>
  </si>
  <si>
    <t>Ведомость ссылочных и прилагаемых документов</t>
  </si>
  <si>
    <t>Ведомость основных комплектов рабочих чертежей</t>
  </si>
  <si>
    <t>Ведомость рабочих чертежей основного комплекта</t>
  </si>
  <si>
    <t>1. Общие данные</t>
  </si>
  <si>
    <t>Комментарий</t>
  </si>
  <si>
    <r>
      <rPr>
        <b/>
        <sz val="8"/>
        <color theme="1"/>
        <rFont val="Calibri"/>
        <family val="2"/>
        <charset val="204"/>
      </rPr>
      <t>Соответствие</t>
    </r>
    <r>
      <rPr>
        <b/>
        <sz val="10"/>
        <color theme="1"/>
        <rFont val="Calibri"/>
        <family val="2"/>
        <charset val="204"/>
      </rPr>
      <t xml:space="preserve">
</t>
    </r>
    <r>
      <rPr>
        <b/>
        <sz val="8"/>
        <color theme="1"/>
        <rFont val="Calibri"/>
        <family val="2"/>
        <charset val="204"/>
      </rPr>
      <t>Да/Нет</t>
    </r>
  </si>
  <si>
    <t>Наименование проверки</t>
  </si>
  <si>
    <t>Чек-лист проверки комплектов рабочей документации на 
фундаментные плиты</t>
  </si>
  <si>
    <t>Условные обозначения по геологическому разрезу (из ИГИ) с таблицей основных физико-механических характеристик</t>
  </si>
  <si>
    <t>Геологический разрез с посадкой здания (изображение ростверка и свай)</t>
  </si>
  <si>
    <t>3. Геологические разрезы</t>
  </si>
  <si>
    <t>Расчетные нагрузки на сваи и несущая способность свай по корпусам</t>
  </si>
  <si>
    <t>Условные обозначения</t>
  </si>
  <si>
    <t>Таблица отметок свай. Спецификация к схеме расположения свай</t>
  </si>
  <si>
    <t>Узел заделки сваи с высотными отметками и толщинами слоев</t>
  </si>
  <si>
    <r>
      <rPr>
        <sz val="10"/>
        <color theme="1"/>
        <rFont val="Calibri"/>
        <family val="2"/>
        <charset val="204"/>
      </rPr>
      <t>Ведомость материалов. Ведомость расхода стали.</t>
    </r>
    <r>
      <rPr>
        <sz val="10"/>
        <color rgb="FFEA4335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</rPr>
      <t>Расход материалов</t>
    </r>
  </si>
  <si>
    <t>Добавление значка " * " после номера сваи для свай, требующих срубки в зоне приямков. Добавить пометку в общие указания или в условные обозначения</t>
  </si>
  <si>
    <t>Наличие общих указаний к схеме свайного поля</t>
  </si>
  <si>
    <t>Наличие всех привязок. Нумерацию свай производить по порядку (например слево-направо и сверху в низ), посекционно</t>
  </si>
  <si>
    <t>2. Схема расположения свайного поля</t>
  </si>
  <si>
    <t>Количество листов в штампе</t>
  </si>
  <si>
    <t>Ведомость свай</t>
  </si>
  <si>
    <t>Чек-лист проверки комплектов рабочей документации на 
свайный фундамент</t>
  </si>
  <si>
    <t>Узел сварки вертикального токовода (при наличии)</t>
  </si>
  <si>
    <t>7.4</t>
  </si>
  <si>
    <t>Схема установки элементов молнезащиты (при наличии)</t>
  </si>
  <si>
    <t>7.3</t>
  </si>
  <si>
    <r>
      <rPr>
        <sz val="10"/>
        <color theme="1"/>
        <rFont val="Calibri"/>
        <family val="2"/>
        <charset val="204"/>
      </rPr>
      <t xml:space="preserve">Для бетона класс В, морозостойкость F, водонепроницаемость W (для стен подземной части здания) </t>
    </r>
    <r>
      <rPr>
        <u/>
        <sz val="10"/>
        <color theme="1"/>
        <rFont val="Calibri"/>
        <family val="2"/>
        <charset val="204"/>
      </rPr>
      <t>в соответсвии с ПД</t>
    </r>
  </si>
  <si>
    <t>7.2</t>
  </si>
  <si>
    <t>Шпильки из А240. Хомуты из А500С</t>
  </si>
  <si>
    <t>7.1</t>
  </si>
  <si>
    <t>7. Спецификация, ведомость деталей</t>
  </si>
  <si>
    <t>В местах пересечения с фасадными балками (плитами) хомуты и шпильки должны соответствовать требованиям п. 6.2.3, 6.2.4</t>
  </si>
  <si>
    <t>6.2.5</t>
  </si>
  <si>
    <r>
      <rPr>
        <sz val="10"/>
        <color theme="1"/>
        <rFont val="Calibri"/>
        <family val="2"/>
        <charset val="204"/>
      </rPr>
      <t xml:space="preserve">Шаг хомутов не более 10Ø по всей высоте при армировании </t>
    </r>
    <r>
      <rPr>
        <b/>
        <sz val="10"/>
        <color theme="1"/>
        <rFont val="Calibri"/>
        <family val="2"/>
        <charset val="204"/>
      </rPr>
      <t>более 3%</t>
    </r>
  </si>
  <si>
    <t>6.2.4</t>
  </si>
  <si>
    <r>
      <rPr>
        <sz val="10"/>
        <color theme="1"/>
        <rFont val="Calibri"/>
        <family val="2"/>
        <charset val="204"/>
      </rPr>
      <t xml:space="preserve">Шаг хомутов по высоте не более 15Ø, в зоне перехлеста не более 10Ø при армировании </t>
    </r>
    <r>
      <rPr>
        <b/>
        <sz val="10"/>
        <color theme="1"/>
        <rFont val="Calibri"/>
        <family val="2"/>
        <charset val="204"/>
      </rPr>
      <t>менее 3%</t>
    </r>
  </si>
  <si>
    <t>6.2.3</t>
  </si>
  <si>
    <t>Шпилька или хомут не более чем через стержень и не более 400мм</t>
  </si>
  <si>
    <t>6.2.2</t>
  </si>
  <si>
    <t>При высоте поперечного сечения колонны 800 мм и 
более устанавливать не менее 2-х хомутов</t>
  </si>
  <si>
    <t>6.2.1</t>
  </si>
  <si>
    <t>6.2</t>
  </si>
  <si>
    <t>Вариант расположения шпилек (Вар.1...Вар.4) соответствует принятому шагу, указанному на сечениях типа стен (контролировать работу плагина)</t>
  </si>
  <si>
    <t>6.1.1</t>
  </si>
  <si>
    <t>Для стен и пилонов</t>
  </si>
  <si>
    <t>6.1</t>
  </si>
  <si>
    <t>6. Поперечное армирование</t>
  </si>
  <si>
    <t>Оформлять фрагментом с сечениями или узлами</t>
  </si>
  <si>
    <t>5.1</t>
  </si>
  <si>
    <t>5. Схема обрамления отверстий</t>
  </si>
  <si>
    <t>Узел с привязкой по высоте Г-образных элементов</t>
  </si>
  <si>
    <t>4.2</t>
  </si>
  <si>
    <t>Схема расположения гнутых элементов выпусков в плиты перекрытий
на отм. Х,ХХХ (с указанием отметок плит, схему показывать на плане плиты, в которую устанавливаются выпуска)</t>
  </si>
  <si>
    <t>4.1</t>
  </si>
  <si>
    <t>Узел установки 4х стержней в торцах пилонов, расположенных в теле стены, с однозначной привязкой стержней к ГТС в плане</t>
  </si>
  <si>
    <t>3.3</t>
  </si>
  <si>
    <r>
      <rPr>
        <sz val="10"/>
        <color theme="1"/>
        <rFont val="Calibri"/>
        <family val="2"/>
        <charset val="204"/>
      </rPr>
      <t xml:space="preserve">Для колонн арматуру диаметром </t>
    </r>
    <r>
      <rPr>
        <b/>
        <sz val="10"/>
        <color theme="1"/>
        <rFont val="Calibri"/>
        <family val="2"/>
        <charset val="204"/>
      </rPr>
      <t>14, 18, 22, 40</t>
    </r>
    <r>
      <rPr>
        <sz val="10"/>
        <color theme="1"/>
        <rFont val="Calibri"/>
        <family val="2"/>
        <charset val="204"/>
      </rPr>
      <t xml:space="preserve">  не использовать</t>
    </r>
  </si>
  <si>
    <t>3.2</t>
  </si>
  <si>
    <r>
      <rPr>
        <sz val="10"/>
        <color theme="1"/>
        <rFont val="Calibri"/>
        <family val="2"/>
        <charset val="204"/>
      </rPr>
      <t xml:space="preserve">Для стен арматуру диаметром </t>
    </r>
    <r>
      <rPr>
        <b/>
        <sz val="10"/>
        <color theme="1"/>
        <rFont val="Calibri"/>
        <family val="2"/>
        <charset val="204"/>
      </rPr>
      <t>14, 18, 22, 36, 40</t>
    </r>
    <r>
      <rPr>
        <sz val="10"/>
        <color theme="1"/>
        <rFont val="Calibri"/>
        <family val="2"/>
        <charset val="204"/>
      </rPr>
      <t xml:space="preserve">  не использовать </t>
    </r>
  </si>
  <si>
    <t>3.1</t>
  </si>
  <si>
    <t>Отверстия в стенах под промежуточную лестничную площадку с учетом требований к конструированию лестниц</t>
  </si>
  <si>
    <t>2.6</t>
  </si>
  <si>
    <t>Таблица отметок типовых этажей</t>
  </si>
  <si>
    <t>2.5</t>
  </si>
  <si>
    <t>Наличие согласования ОАП и ОИС</t>
  </si>
  <si>
    <t>2.4</t>
  </si>
  <si>
    <t>Для группы сложно расположенных отверстий, а также в местах примыкания сложных перепадов плит показывать развертку (вид на стену)</t>
  </si>
  <si>
    <t>2.3</t>
  </si>
  <si>
    <t>Спецификация отверстий в стенах на отм. X,XХХ</t>
  </si>
  <si>
    <t>2.2</t>
  </si>
  <si>
    <t>2.1</t>
  </si>
  <si>
    <r>
      <rPr>
        <sz val="10"/>
        <color theme="1"/>
        <rFont val="Calibri"/>
        <family val="2"/>
        <charset val="204"/>
        <scheme val="minor"/>
      </rPr>
      <t xml:space="preserve">Упоминание о допустимых уровнях прочности при распалубливании </t>
    </r>
    <r>
      <rPr>
        <b/>
        <u/>
        <sz val="10"/>
        <color theme="1"/>
        <rFont val="Calibri"/>
        <family val="2"/>
        <charset val="204"/>
        <scheme val="minor"/>
      </rPr>
      <t>не писать</t>
    </r>
  </si>
  <si>
    <t>1.13</t>
  </si>
  <si>
    <t>1.12</t>
  </si>
  <si>
    <r>
      <rPr>
        <sz val="10"/>
        <color theme="1"/>
        <rFont val="Calibri"/>
        <family val="2"/>
        <charset val="204"/>
        <scheme val="minor"/>
      </rPr>
      <t xml:space="preserve">Жук с указанием </t>
    </r>
    <r>
      <rPr>
        <b/>
        <sz val="10"/>
        <color theme="1"/>
        <rFont val="Calibri"/>
        <family val="2"/>
        <charset val="204"/>
        <scheme val="minor"/>
      </rPr>
      <t>этажности</t>
    </r>
    <r>
      <rPr>
        <sz val="10"/>
        <color theme="1"/>
        <rFont val="Calibri"/>
        <family val="2"/>
        <charset val="204"/>
        <scheme val="minor"/>
      </rPr>
      <t xml:space="preserve"> зданий</t>
    </r>
  </si>
  <si>
    <t>1.11</t>
  </si>
  <si>
    <t>1.10</t>
  </si>
  <si>
    <t>ОУ. Указанные материалы соответствуют принятым в комплетке</t>
  </si>
  <si>
    <t>1.9</t>
  </si>
  <si>
    <t>1.8</t>
  </si>
  <si>
    <t>1.7</t>
  </si>
  <si>
    <t>1.6</t>
  </si>
  <si>
    <t>1.5</t>
  </si>
  <si>
    <t>1.4</t>
  </si>
  <si>
    <t>1.3</t>
  </si>
  <si>
    <t>1.2</t>
  </si>
  <si>
    <t>1.1</t>
  </si>
  <si>
    <t>Чек-лист проверки комплектов рабочей документации на 
вертикальные конструкции</t>
  </si>
  <si>
    <t>8.1</t>
  </si>
  <si>
    <t>8. Спецификация, ведомость деталей</t>
  </si>
  <si>
    <t>Для балок использовать хомуты с перепуском (суммарно по всем граням) не менее Lр.н</t>
  </si>
  <si>
    <t>7.6</t>
  </si>
  <si>
    <t>Поперечное армирование балок:
Хомуты - не менее Ø8 А500С.
Шаг в приопорных зонах не более 0,5h0 и 300 мм
Шаг в пролете не более 0,75h0 и 500 мм
Для балок шириной 400 мм и более - не менее 3-х срезов поперечной арматуры по ширине сечения (хомут+шпильки)</t>
  </si>
  <si>
    <t>7.5</t>
  </si>
  <si>
    <t>Сечение по "носику" между маршами</t>
  </si>
  <si>
    <t>Сечение по основной лестничной площадке (армирование площадки, подбалки и "носика" между маршами).
Продольное армирование:
- нижнаяя в подбалке (опорный узел) - 12А500С (3 шт.),
- нижняя в "скрытых балках" - 16А500С (3 шт.),
- нижняя в "скрытых балках" и в подбалке - 12А500С</t>
  </si>
  <si>
    <t>Опирание на опоры продольной арматуры балок:
- нижнее продольное армирование не менее 15Ø и 200 мм 
  (длина анкеровки с учетом расчета на поперечную силу по изгибающему моменту)
- верхнее продольное армирование не менее Lр.а.
- при наличии балконов и лоджий, верх. арм. балок распологать 
  с учетом верхней арматуры каркасов балкона
- анкеровка продольной арматуры в торцах балок вертикальными П-шками (вместо горизонтальных Г-шек и загибов вбок)</t>
  </si>
  <si>
    <t>Ширина балок не менее 200 мм (ребра в балконных плитах не менее 160 мм)</t>
  </si>
  <si>
    <t>7. Армирование балок и основных лестничных площадок
(при их наличии)</t>
  </si>
  <si>
    <t>Наличие указаний по проведению сварочных работ плоских каркасов</t>
  </si>
  <si>
    <t>6.3</t>
  </si>
  <si>
    <r>
      <rPr>
        <sz val="10"/>
        <color theme="1"/>
        <rFont val="Calibri"/>
        <family val="2"/>
        <charset val="204"/>
      </rPr>
      <t>Шаг хомутов в каркасе не более h0/3,
шаг каркасов не более А/4 (см. п. 8.1.48, рис. 8.13 СП 63...)
Например для плиты 180 мм: 
шаг каркасов 80 мм (шаг вдоль расчтеного контура).
шаг стержней в каркасе 50 мм (180-20-16)/3=48 мм</t>
    </r>
    <r>
      <rPr>
        <sz val="10"/>
        <color rgb="FFFF0000"/>
        <rFont val="Calibri"/>
        <family val="2"/>
        <charset val="204"/>
      </rPr>
      <t xml:space="preserve">
</t>
    </r>
    <r>
      <rPr>
        <sz val="10"/>
        <color theme="1"/>
        <rFont val="Calibri"/>
        <family val="2"/>
        <charset val="204"/>
      </rPr>
      <t>Для выполнения данного требования каркасы следует поворачивать относительно граней пилона</t>
    </r>
  </si>
  <si>
    <r>
      <rPr>
        <sz val="10"/>
        <color theme="1"/>
        <rFont val="Calibri"/>
        <family val="2"/>
        <charset val="204"/>
      </rPr>
      <t xml:space="preserve">Диаметр не менее 8 мм из арматуры </t>
    </r>
    <r>
      <rPr>
        <sz val="10"/>
        <color theme="1"/>
        <rFont val="Calibri"/>
        <family val="2"/>
        <charset val="204"/>
      </rPr>
      <t>А500С</t>
    </r>
  </si>
  <si>
    <t>Шаг хомутов в бетонных перемычках не более 0,5 h0</t>
  </si>
  <si>
    <t>5.3</t>
  </si>
  <si>
    <t>Узлы армирования перемычек между отверстиями. 
Защитные слои арматуры перемычек учитывают расположение арматуры плиты в обоих направлениях</t>
  </si>
  <si>
    <t>5.2</t>
  </si>
  <si>
    <t>Схемы установки П-образных элементов с маркировкой в плане (выборочно, для каждого типа)</t>
  </si>
  <si>
    <t>5. Схема расположения гнутых элементов и обрамления отверстий</t>
  </si>
  <si>
    <t>Показывать на плане Г-образные выпуски из стен и пилонов (нижестоящих конструкций). 
Яркость 50% со ссылкой на комплект</t>
  </si>
  <si>
    <t xml:space="preserve">Защитный слой не менее диаметра рабочей арматуры и не менее 20 мм </t>
  </si>
  <si>
    <t>4. Верхнее армирование</t>
  </si>
  <si>
    <t>Спецификация каркасов КП-Х</t>
  </si>
  <si>
    <t>3.11</t>
  </si>
  <si>
    <t>Каркас КП-Х. Анкеровка стержней каркаса в плиту перекрытия не менее: 
верхний стержень - Lр.а. (удлинять при наличии зоны доп. армирования в плите),
нижний стержень - Lсж.а. (контролировать наличие растяжения в шпонках)</t>
  </si>
  <si>
    <t>3.14.4</t>
  </si>
  <si>
    <t>Каркас КП-Х. Состав пространственного каркаса:
    верхняя - не менее 16А500С (2-3 шт), 
    нижняя - не менее 10А500С (2 шт), 
    хомуты (8А500С &lt;= d &lt;=10А500С шаг не более 1/2 h0)</t>
  </si>
  <si>
    <t>3.14.3</t>
  </si>
  <si>
    <t>Сечение по шпонкам в 2-х направлениях с разными защ слоями.
Сечение по терморазъемам (наличие П-ки)</t>
  </si>
  <si>
    <t>3.14.2</t>
  </si>
  <si>
    <t>Армирование в обоих направлениях, каркасы КП, П-образные элементы армирования терморазъемов</t>
  </si>
  <si>
    <t>3.10.1</t>
  </si>
  <si>
    <t>Название: "Принципиальная схема армирования балконов"
Что изображено: плита балкона (лоджии)
Где расположено: Плита перекрытия. Нижнее армирование.
На схеме изобразить:</t>
  </si>
  <si>
    <t>3.10</t>
  </si>
  <si>
    <t>Схема установки стержней дополнительного армирования (с шагом 250, 125 и т.п.).
В случае отсутствия доп. армирования с шагом 125 мм, данный узел не показывать, а доп. армирование с шагом 250 мм устанавливать по середине между фоновой арматурой</t>
  </si>
  <si>
    <t>3.9</t>
  </si>
  <si>
    <t>Привязка выпусков под лестницы на плане. 
Сечение по СТО (3 стержня по высоте - одиночные и спаренные)</t>
  </si>
  <si>
    <t>3.8</t>
  </si>
  <si>
    <r>
      <rPr>
        <sz val="10"/>
        <color theme="1"/>
        <rFont val="Calibri"/>
        <family val="2"/>
        <charset val="204"/>
      </rPr>
      <t xml:space="preserve">3. Симметричная П-шка длиной L = 2 х Lр.а. при наличии </t>
    </r>
    <r>
      <rPr>
        <b/>
        <sz val="10"/>
        <color theme="1"/>
        <rFont val="Calibri"/>
        <family val="2"/>
        <charset val="204"/>
      </rPr>
      <t>нижнего</t>
    </r>
    <r>
      <rPr>
        <sz val="10"/>
        <color theme="1"/>
        <rFont val="Calibri"/>
        <family val="2"/>
        <charset val="204"/>
      </rPr>
      <t xml:space="preserve"> момента на опоре (</t>
    </r>
    <r>
      <rPr>
        <b/>
        <sz val="10"/>
        <color theme="1"/>
        <rFont val="Calibri"/>
        <family val="2"/>
        <charset val="204"/>
      </rPr>
      <t>см. мозаики моментов п 3.3.4</t>
    </r>
    <r>
      <rPr>
        <sz val="10"/>
        <color theme="1"/>
        <rFont val="Calibri"/>
        <family val="2"/>
        <charset val="204"/>
      </rPr>
      <t>)</t>
    </r>
  </si>
  <si>
    <t>3.7.3</t>
  </si>
  <si>
    <t>2. П-шка с удлиненным верхним концом не менее L = 2 х Lр.а. (на опорах и в местах требуемого доп. верхнего армирования). 
При диаметрах более 12 мм устанавливать Г-образные выпуски из стен (пилонов)</t>
  </si>
  <si>
    <t>3.7.2</t>
  </si>
  <si>
    <t>1. Симметричная П-шка длиной Lр.н. в случаях отсутствия усилий (свободные края, обрамление отверстий)</t>
  </si>
  <si>
    <t>3.7.1</t>
  </si>
  <si>
    <t>3 типа П-образных элементов на торцах плит:</t>
  </si>
  <si>
    <t>3.7</t>
  </si>
  <si>
    <t>Доводим до опор (условного ригеля) не менее 1/3 общей максимальной площади арматуры в пролете. Для балок не менее 1/2 (и не менее 2-х шт.)</t>
  </si>
  <si>
    <t>3.6</t>
  </si>
  <si>
    <t>При пролетах более 5 м проведена дополнительная проверка 
необходимости нижней дополнительной арматуры</t>
  </si>
  <si>
    <t>3.5</t>
  </si>
  <si>
    <t>Нижний фон диаметром не менее 10 мм</t>
  </si>
  <si>
    <t>3.4</t>
  </si>
  <si>
    <t>- Армирование балок (при наличии)</t>
  </si>
  <si>
    <t>3.3.5</t>
  </si>
  <si>
    <t>- Мозаики моментов от основного сочетания</t>
  </si>
  <si>
    <t>3.3.4</t>
  </si>
  <si>
    <t>- Поперечная арматура</t>
  </si>
  <si>
    <t>3.3.3</t>
  </si>
  <si>
    <t>- Продольная арматура по расчету на огнестойкость (для R150 и более)</t>
  </si>
  <si>
    <t>3.3.2</t>
  </si>
  <si>
    <t>- Продольная арматура подобранная по ЛираСАПР</t>
  </si>
  <si>
    <t>3.3.1</t>
  </si>
  <si>
    <t>Задание на армирование должно содержать следующие материалы:</t>
  </si>
  <si>
    <r>
      <rPr>
        <sz val="10"/>
        <color theme="1"/>
        <rFont val="Calibri"/>
        <family val="2"/>
        <charset val="204"/>
      </rPr>
      <t xml:space="preserve">Арматуру диаметром </t>
    </r>
    <r>
      <rPr>
        <b/>
        <sz val="10"/>
        <color theme="1"/>
        <rFont val="Calibri"/>
        <family val="2"/>
        <charset val="204"/>
      </rPr>
      <t>14, 18, 22, 36, 40</t>
    </r>
    <r>
      <rPr>
        <sz val="10"/>
        <color theme="1"/>
        <rFont val="Calibri"/>
        <family val="2"/>
        <charset val="204"/>
      </rPr>
      <t xml:space="preserve"> не применять</t>
    </r>
  </si>
  <si>
    <r>
      <rPr>
        <sz val="10"/>
        <color theme="1"/>
        <rFont val="Calibri"/>
        <family val="2"/>
        <charset val="204"/>
      </rPr>
      <t xml:space="preserve">Защитный слой для нижней арматуры:
для R90   - 30мм
для R120 - 35мм
для R150 - 40мм
для R180 - 50мм </t>
    </r>
    <r>
      <rPr>
        <i/>
        <sz val="10"/>
        <color theme="1"/>
        <rFont val="Calibri"/>
        <family val="2"/>
        <charset val="204"/>
      </rPr>
      <t>(требуется конструктивное армирование защитного слоя)</t>
    </r>
    <r>
      <rPr>
        <sz val="10"/>
        <color theme="1"/>
        <rFont val="Calibri"/>
        <family val="2"/>
        <charset val="204"/>
      </rPr>
      <t xml:space="preserve">
Защитный слой для верхней арматуры 20 мм, но не менее диаметра арматуры.
(Предел огнестойкости сверять с разделом МОПБ)</t>
    </r>
  </si>
  <si>
    <t>3. Нижнее армирование</t>
  </si>
  <si>
    <t>Выноска с номером альбома для плит смежных секций. Яркость 50%</t>
  </si>
  <si>
    <t>Толщина плиты между парковкой и 1 этажом здания не менее 220 мм (REI150)</t>
  </si>
  <si>
    <t>Размер перемычки между отверстиями не менее 80 мм. 
Перемычки менее 80 мм не выполнять, а смежные отверстия объединять</t>
  </si>
  <si>
    <t>Наличие и правильность р.ш.б. под лестницы (не менее 600 мм от первого подъема)</t>
  </si>
  <si>
    <r>
      <rPr>
        <sz val="10"/>
        <color theme="1"/>
        <rFont val="Calibri"/>
        <family val="2"/>
        <charset val="204"/>
      </rPr>
      <t>Наличие всех необходимых привязок и высотных отметок на сечениях</t>
    </r>
    <r>
      <rPr>
        <sz val="10"/>
        <color theme="1"/>
        <rFont val="Calibri"/>
        <family val="2"/>
        <charset val="204"/>
      </rPr>
      <t xml:space="preserve"> и схемах</t>
    </r>
  </si>
  <si>
    <r>
      <rPr>
        <sz val="10"/>
        <color theme="1"/>
        <rFont val="Calibri"/>
        <family val="2"/>
        <charset val="204"/>
        <scheme val="minor"/>
      </rPr>
      <t xml:space="preserve">Упоминание о допустимых уровнях прочности </t>
    </r>
    <r>
      <rPr>
        <b/>
        <u/>
        <sz val="10"/>
        <color theme="1"/>
        <rFont val="Calibri"/>
        <family val="2"/>
        <charset val="204"/>
        <scheme val="minor"/>
      </rPr>
      <t>не писать</t>
    </r>
  </si>
  <si>
    <t>1.14</t>
  </si>
  <si>
    <t>Таблица нормативных нагрузок на плиту (включая описание линейных нагрузок от перегородок)</t>
  </si>
  <si>
    <t>Чек-лист проверки комплектов рабочей документации на 
плиты перекрытий</t>
  </si>
  <si>
    <t>4. Спецификация, ведомость деталей</t>
  </si>
  <si>
    <t>Проступи армировать сварными сетками по ГОСТ</t>
  </si>
  <si>
    <r>
      <rPr>
        <sz val="10"/>
        <color theme="1"/>
        <rFont val="Calibri"/>
        <family val="2"/>
        <charset val="204"/>
      </rPr>
      <t xml:space="preserve">Для объектов </t>
    </r>
    <r>
      <rPr>
        <b/>
        <sz val="10"/>
        <color theme="1"/>
        <rFont val="Calibri"/>
        <family val="2"/>
        <charset val="204"/>
      </rPr>
      <t>Реновации</t>
    </r>
    <r>
      <rPr>
        <sz val="10"/>
        <color theme="1"/>
        <rFont val="Calibri"/>
        <family val="2"/>
        <charset val="204"/>
      </rPr>
      <t xml:space="preserve"> в торцах скрытых балок 
устанавливать П-шки Ø12 мм (заделка в стену)</t>
    </r>
  </si>
  <si>
    <t>Для сложных лестниц (трех и более маршевых) давать схему 
расположения скрытых балок и армирование площадок и маршей в плане</t>
  </si>
  <si>
    <t>Типовые узлы армирования (при этом контролировать расположение "скрытых балок", сверять с отверстиями в стенах). 
Если смещение скрытых балок в площадке для нисходящего 
марша отличается от типового - давать индивидуальный узел</t>
  </si>
  <si>
    <t>Армирование типовой лестничной площадки 
(по месту опирания марша и между маршами)</t>
  </si>
  <si>
    <t>Если лестница спускается в подземную часть обеспечить опору для противопожарной перегородки</t>
  </si>
  <si>
    <t>2.9</t>
  </si>
  <si>
    <t>Край шпонки привязан не ближе 200 мм к вертикальной грани последнего подъема нисходящего марша</t>
  </si>
  <si>
    <t>2.8</t>
  </si>
  <si>
    <t>Сечение по типовой монолитной площадке 
(по месту опирания марша и между маршами)</t>
  </si>
  <si>
    <t>2.7</t>
  </si>
  <si>
    <t>Для сборных лестниц дать схему расположения монолитных 
площадок типового этажа (для контроля монтажа сборного марша)</t>
  </si>
  <si>
    <t>Ширина шпонки на типовых этажах 250 мм</t>
  </si>
  <si>
    <r>
      <rPr>
        <sz val="10"/>
        <color theme="1"/>
        <rFont val="Calibri"/>
        <family val="2"/>
        <charset val="204"/>
      </rPr>
      <t xml:space="preserve">Контур площадок и маршей на схемах и разрезах </t>
    </r>
    <r>
      <rPr>
        <b/>
        <sz val="10"/>
        <color theme="1"/>
        <rFont val="Calibri"/>
        <family val="2"/>
        <charset val="204"/>
      </rPr>
      <t>ЖИРНЕЕ</t>
    </r>
  </si>
  <si>
    <t>Разрезы с высотными отметками и размерами (по каждому маршу, не менее 2 шт.)</t>
  </si>
  <si>
    <t>Разрезы направление "снизу - вверх" и "справа - налево"</t>
  </si>
  <si>
    <t>"Схема расположения лестницы Лм-1 на отм. 3,000...4,500"</t>
  </si>
  <si>
    <r>
      <rPr>
        <sz val="11"/>
        <color rgb="FF000000"/>
        <rFont val="Roboto, Arial"/>
      </rPr>
      <t xml:space="preserve">Упоминание о допустимых уровнях прочности </t>
    </r>
    <r>
      <rPr>
        <b/>
        <u/>
        <sz val="11"/>
        <color rgb="FF000000"/>
        <rFont val="Roboto, Arial"/>
      </rPr>
      <t>не писать</t>
    </r>
  </si>
  <si>
    <r>
      <rPr>
        <sz val="11"/>
        <color rgb="FF000000"/>
        <rFont val="Roboto, Arial"/>
      </rPr>
      <t xml:space="preserve">Жук с указанием </t>
    </r>
    <r>
      <rPr>
        <b/>
        <sz val="11"/>
        <color rgb="FF000000"/>
        <rFont val="Roboto, Arial"/>
      </rPr>
      <t>этажности</t>
    </r>
    <r>
      <rPr>
        <sz val="11"/>
        <color rgb="FF000000"/>
        <rFont val="Roboto, Arial"/>
      </rPr>
      <t xml:space="preserve"> зданий</t>
    </r>
  </si>
  <si>
    <t>Чек-лист проверки комплектов рабочей документации на 
лестницы</t>
  </si>
  <si>
    <r>
      <t>кгс/м</t>
    </r>
    <r>
      <rPr>
        <vertAlign val="superscript"/>
        <sz val="14"/>
        <rFont val="Times New Roman"/>
        <family val="1"/>
        <charset val="204"/>
      </rPr>
      <t>2</t>
    </r>
  </si>
  <si>
    <t>Временная нагрузка с учетом коэффициента сочетаний</t>
  </si>
  <si>
    <t>Тип помещения</t>
  </si>
  <si>
    <t>шт.</t>
  </si>
  <si>
    <t>Количество перекрытий</t>
  </si>
  <si>
    <r>
      <t>м</t>
    </r>
    <r>
      <rPr>
        <vertAlign val="superscript"/>
        <sz val="14"/>
        <rFont val="Times New Roman"/>
        <family val="1"/>
        <charset val="204"/>
      </rPr>
      <t>2</t>
    </r>
  </si>
  <si>
    <t>Грузовая площадь с одного перекрытия А=</t>
  </si>
  <si>
    <t>Снижение временных нагрузок от нескольких перекрытий.</t>
  </si>
  <si>
    <t>Помещения в жилых и общественных зданиях (1,2,12а)</t>
  </si>
  <si>
    <t>Залы и помещения производственных зданий (4,11,12б)</t>
  </si>
  <si>
    <t>Нормативная временная нагрузка по табл. 8.3 СП 20.13330.2016</t>
  </si>
  <si>
    <t>ϕ1 =</t>
  </si>
  <si>
    <t>ϕ2 =</t>
  </si>
  <si>
    <t>ϕ3 =</t>
  </si>
  <si>
    <t>ϕ4 =</t>
  </si>
  <si>
    <t>Коэффициент сочетания для одного перекрытия (п. 6.7)</t>
  </si>
  <si>
    <t>Коэффициент сочетания для нескольких перекрытий (п. 6.8)</t>
  </si>
  <si>
    <t>Фоновое армирование ф12/ф12_B25
Плита над ПЧ з.с. Низ 40_з.с. Верх 30</t>
  </si>
  <si>
    <t>12/200</t>
  </si>
  <si>
    <t>12/200+12/200</t>
  </si>
  <si>
    <t>12/200+16/200</t>
  </si>
  <si>
    <t>12/200+12/100</t>
  </si>
  <si>
    <t>12/200+16/100</t>
  </si>
  <si>
    <t>Сортамент арматуры</t>
  </si>
  <si>
    <t>Класс</t>
  </si>
  <si>
    <t>Rb, МПа</t>
  </si>
  <si>
    <t>Rbt, МПа</t>
  </si>
  <si>
    <t>Eb, МПа</t>
  </si>
  <si>
    <t>Диаметр
мм</t>
  </si>
  <si>
    <t>Площадь
см2</t>
  </si>
  <si>
    <t>Вес
кг</t>
  </si>
  <si>
    <t>B45</t>
  </si>
  <si>
    <t>B50</t>
  </si>
  <si>
    <t>B55</t>
  </si>
  <si>
    <t>B60</t>
  </si>
  <si>
    <t>B70</t>
  </si>
  <si>
    <t>B80</t>
  </si>
  <si>
    <t>B90</t>
  </si>
  <si>
    <t>B100</t>
  </si>
  <si>
    <t>Арматура</t>
  </si>
  <si>
    <t>Rsw, МПа</t>
  </si>
  <si>
    <t>A240</t>
  </si>
  <si>
    <t>A400</t>
  </si>
  <si>
    <t>тс</t>
  </si>
  <si>
    <r>
      <t>Q</t>
    </r>
    <r>
      <rPr>
        <sz val="10"/>
        <color theme="1"/>
        <rFont val="ISOCPEUR"/>
        <family val="2"/>
        <charset val="204"/>
      </rPr>
      <t>b1</t>
    </r>
  </si>
  <si>
    <t>не рассматривая наклонные сечения</t>
  </si>
  <si>
    <t>ф 8.62 [1]</t>
  </si>
  <si>
    <r>
      <t>Q</t>
    </r>
    <r>
      <rPr>
        <sz val="10"/>
        <color theme="1"/>
        <rFont val="ISOCPEUR"/>
        <family val="2"/>
        <charset val="204"/>
      </rPr>
      <t>sw3</t>
    </r>
  </si>
  <si>
    <t>с учетом С=2*h0</t>
  </si>
  <si>
    <t>ф 8.58 [1]</t>
  </si>
  <si>
    <r>
      <t>Q</t>
    </r>
    <r>
      <rPr>
        <sz val="10"/>
        <color theme="1"/>
        <rFont val="ISOCPEUR"/>
        <family val="2"/>
        <charset val="204"/>
      </rPr>
      <t>sw2</t>
    </r>
  </si>
  <si>
    <t>с учетом С=h0</t>
  </si>
  <si>
    <r>
      <t>Q</t>
    </r>
    <r>
      <rPr>
        <sz val="10"/>
        <color theme="1"/>
        <rFont val="ISOCPEUR"/>
        <family val="2"/>
        <charset val="204"/>
      </rPr>
      <t>sw1</t>
    </r>
  </si>
  <si>
    <t>H/мм</t>
  </si>
  <si>
    <r>
      <t>q</t>
    </r>
    <r>
      <rPr>
        <sz val="10"/>
        <color theme="1"/>
        <rFont val="ISOCPEUR"/>
        <family val="2"/>
        <charset val="204"/>
      </rPr>
      <t>sw</t>
    </r>
    <r>
      <rPr>
        <sz val="11"/>
        <color theme="1"/>
        <rFont val="ISOCPEUR"/>
        <family val="2"/>
        <charset val="204"/>
      </rPr>
      <t xml:space="preserve"> min</t>
    </r>
  </si>
  <si>
    <r>
      <t xml:space="preserve">Диаметр </t>
    </r>
    <r>
      <rPr>
        <sz val="10"/>
        <color theme="1"/>
        <rFont val="Times New Roman"/>
        <family val="1"/>
        <charset val="204"/>
      </rPr>
      <t>dsw/мм</t>
    </r>
  </si>
  <si>
    <r>
      <t>q</t>
    </r>
    <r>
      <rPr>
        <sz val="10"/>
        <color theme="1"/>
        <rFont val="ISOCPEUR"/>
        <family val="2"/>
        <charset val="204"/>
      </rPr>
      <t>sw</t>
    </r>
  </si>
  <si>
    <r>
      <t xml:space="preserve">Rsw </t>
    </r>
    <r>
      <rPr>
        <sz val="10"/>
        <color theme="3" tint="0.39997558519241921"/>
        <rFont val="Times New Roman"/>
        <family val="1"/>
        <charset val="204"/>
      </rPr>
      <t>/МПа</t>
    </r>
  </si>
  <si>
    <r>
      <t xml:space="preserve">Asw </t>
    </r>
    <r>
      <rPr>
        <sz val="10"/>
        <color theme="1"/>
        <rFont val="ISOCPEUR"/>
        <family val="2"/>
        <charset val="204"/>
      </rPr>
      <t>(общая)</t>
    </r>
  </si>
  <si>
    <t>мм2</t>
  </si>
  <si>
    <r>
      <t xml:space="preserve">Asw </t>
    </r>
    <r>
      <rPr>
        <sz val="10"/>
        <color theme="1"/>
        <rFont val="ISOCPEUR"/>
        <family val="2"/>
        <charset val="204"/>
      </rPr>
      <t>(y общ)</t>
    </r>
  </si>
  <si>
    <r>
      <t xml:space="preserve">Rbt </t>
    </r>
    <r>
      <rPr>
        <sz val="10"/>
        <color theme="3" tint="0.39997558519241921"/>
        <rFont val="Times New Roman"/>
        <family val="1"/>
        <charset val="204"/>
      </rPr>
      <t>/МПа</t>
    </r>
  </si>
  <si>
    <r>
      <t xml:space="preserve">Asw </t>
    </r>
    <r>
      <rPr>
        <sz val="10"/>
        <color theme="1"/>
        <rFont val="ISOCPEUR"/>
        <family val="2"/>
        <charset val="204"/>
      </rPr>
      <t>(x общ)</t>
    </r>
  </si>
  <si>
    <r>
      <t xml:space="preserve">Rb </t>
    </r>
    <r>
      <rPr>
        <sz val="10"/>
        <color theme="3" tint="0.39997558519241921"/>
        <rFont val="Times New Roman"/>
        <family val="1"/>
        <charset val="204"/>
      </rPr>
      <t>/МПа</t>
    </r>
  </si>
  <si>
    <r>
      <t xml:space="preserve">Asw </t>
    </r>
    <r>
      <rPr>
        <sz val="10"/>
        <color theme="1"/>
        <rFont val="ISOCPEUR"/>
        <family val="2"/>
        <charset val="204"/>
      </rPr>
      <t>(стерж)</t>
    </r>
  </si>
  <si>
    <t>колличество поперечной арматуры поперек элемента</t>
  </si>
  <si>
    <t>шт</t>
  </si>
  <si>
    <t>n (y)</t>
  </si>
  <si>
    <t>Материалы:</t>
  </si>
  <si>
    <t xml:space="preserve">  шаг поперечной арматуры вдоль элемента</t>
  </si>
  <si>
    <t>Sw (y)</t>
  </si>
  <si>
    <r>
      <t>a</t>
    </r>
    <r>
      <rPr>
        <sz val="11"/>
        <color theme="3" tint="0.39997558519241921"/>
        <rFont val="Times New Roman"/>
        <family val="1"/>
        <charset val="204"/>
      </rPr>
      <t xml:space="preserve"> </t>
    </r>
    <r>
      <rPr>
        <sz val="10"/>
        <color theme="3" tint="0.39997558519241921"/>
        <rFont val="Times New Roman"/>
        <family val="1"/>
        <charset val="204"/>
      </rPr>
      <t>/мм</t>
    </r>
  </si>
  <si>
    <t>n (х)</t>
  </si>
  <si>
    <r>
      <t xml:space="preserve">h </t>
    </r>
    <r>
      <rPr>
        <sz val="10"/>
        <color theme="3" tint="0.39997558519241921"/>
        <rFont val="Times New Roman"/>
        <family val="1"/>
        <charset val="204"/>
      </rPr>
      <t>/мм</t>
    </r>
  </si>
  <si>
    <t>Sw (х)</t>
  </si>
  <si>
    <r>
      <t>b</t>
    </r>
    <r>
      <rPr>
        <sz val="10"/>
        <color theme="1"/>
        <rFont val="Times New Roman"/>
        <family val="1"/>
        <charset val="204"/>
      </rPr>
      <t xml:space="preserve"> </t>
    </r>
    <r>
      <rPr>
        <sz val="10"/>
        <color theme="3" tint="0.39997558519241921"/>
        <rFont val="Times New Roman"/>
        <family val="1"/>
        <charset val="204"/>
      </rPr>
      <t>/мм</t>
    </r>
  </si>
  <si>
    <t>h0</t>
  </si>
  <si>
    <t>СЕЧЕНИЕ</t>
  </si>
  <si>
    <t>22 этажа</t>
  </si>
  <si>
    <t>s250d20</t>
  </si>
  <si>
    <t>s250d20+s250d20</t>
  </si>
  <si>
    <t>s250d20+s250d25</t>
  </si>
  <si>
    <t>s250d20+s125d20</t>
  </si>
  <si>
    <t>s250d20+s250d32</t>
  </si>
  <si>
    <t>s250d20+s250d32+s250d32</t>
  </si>
  <si>
    <t>s250d20+s250d32+s125d32</t>
  </si>
  <si>
    <t>ФП шаг 250</t>
  </si>
  <si>
    <t>17/13 этажей</t>
  </si>
  <si>
    <t>s250d16</t>
  </si>
  <si>
    <t>s250d16+s250d16</t>
  </si>
  <si>
    <t>s250d16+s250d20</t>
  </si>
  <si>
    <t>s250d16+s125d16</t>
  </si>
  <si>
    <t>s250d16+s125d20</t>
  </si>
  <si>
    <t>s250d16+s125d25</t>
  </si>
  <si>
    <t>s250d16+s125d28</t>
  </si>
  <si>
    <t>s250d16+s125d32</t>
  </si>
  <si>
    <t>s250d16+s250d32+s125d32</t>
  </si>
  <si>
    <t>s250d16+s125d32+s125d32</t>
  </si>
  <si>
    <t>Фон ф20 шаг 250</t>
  </si>
  <si>
    <t>Фон ф16 шаг 250</t>
  </si>
  <si>
    <t>s250d32</t>
  </si>
  <si>
    <t>s250d32+s250d32</t>
  </si>
  <si>
    <t>s250d32+s250d36</t>
  </si>
  <si>
    <t>s250d32+s250d36+s250d36</t>
  </si>
  <si>
    <t>s250d32+s250d36+s125d36</t>
  </si>
  <si>
    <t>s250d32+s250d36+s125d36+s250d36</t>
  </si>
  <si>
    <t>s250d32+s250d36+s125d36+s125d36</t>
  </si>
  <si>
    <t>s250d28</t>
  </si>
  <si>
    <t>s250d28+s250d28</t>
  </si>
  <si>
    <t>s250d28+s250d32</t>
  </si>
  <si>
    <t>s250d28+s250d36</t>
  </si>
  <si>
    <t>s250d28+s250d36+s250d36</t>
  </si>
  <si>
    <t>s250d28+s250d36+s125d36</t>
  </si>
  <si>
    <t>Фон ф28 шаг 250</t>
  </si>
  <si>
    <t>Фон ф32 шаг 250</t>
  </si>
  <si>
    <t>s250d25</t>
  </si>
  <si>
    <t>s250d25+s250d25</t>
  </si>
  <si>
    <t>s250d25+s250d28</t>
  </si>
  <si>
    <t>s250d25+s250d32</t>
  </si>
  <si>
    <t>s250d25+s125d25</t>
  </si>
  <si>
    <t>s250d25+s250d32+s250d32</t>
  </si>
  <si>
    <t>s250d25+s250d32+s125d32</t>
  </si>
  <si>
    <t>Фон ф25 шаг 250</t>
  </si>
  <si>
    <t>ФП шаг 200</t>
  </si>
  <si>
    <t>s200d20</t>
  </si>
  <si>
    <t>s200d20+s200d20</t>
  </si>
  <si>
    <t>s200d20+s200d25</t>
  </si>
  <si>
    <t>s200d20+s100d20</t>
  </si>
  <si>
    <t>s200d20+s100d25</t>
  </si>
  <si>
    <t>s200d20+s100d25+s200d20</t>
  </si>
  <si>
    <t>s200d20+s100d25+s200d25</t>
  </si>
  <si>
    <t>s200d20+s100d25+s100d25</t>
  </si>
  <si>
    <t>Фон ф20 шаг 200</t>
  </si>
  <si>
    <t>s200d16</t>
  </si>
  <si>
    <t>s200d16+s200d16</t>
  </si>
  <si>
    <t>s200d16+s200d20</t>
  </si>
  <si>
    <t>s200d16+s100d16</t>
  </si>
  <si>
    <t>s200d16+s200d25</t>
  </si>
  <si>
    <t>s200d16+s100d20</t>
  </si>
  <si>
    <t>s200d16+s100d25</t>
  </si>
  <si>
    <t>s200d16+s100d25+s200d25</t>
  </si>
  <si>
    <t>Фон ф16 шаг 200</t>
  </si>
  <si>
    <t>s200d25</t>
  </si>
  <si>
    <t>s200d25+s200d25</t>
  </si>
  <si>
    <t>s200d25+s100d25</t>
  </si>
  <si>
    <t>s200d25+s100d25+s200d25</t>
  </si>
  <si>
    <t>s200d25+s100d25+s100d25</t>
  </si>
  <si>
    <t>s200d25+s100d25+s200d25+s100d25</t>
  </si>
  <si>
    <t>Фон ф25 шаг 200</t>
  </si>
  <si>
    <t>ФУНДАМЕНТНЫЕ ПЛИТЫ</t>
  </si>
  <si>
    <t>ПЛИТЫ ПЕРЕКРЫТИЯ</t>
  </si>
  <si>
    <t>Пм шаг 250</t>
  </si>
  <si>
    <t>Фон ф10 шаг 250</t>
  </si>
  <si>
    <t>Фон ф10 шаг 200</t>
  </si>
  <si>
    <t>s200d12</t>
  </si>
  <si>
    <t>s200d12+s200d12</t>
  </si>
  <si>
    <t>s200d12+s200d16</t>
  </si>
  <si>
    <t>s200d12+s100d12</t>
  </si>
  <si>
    <t>s200d12+s100d16</t>
  </si>
  <si>
    <t>s200d12+s100d20</t>
  </si>
  <si>
    <t>s200d10</t>
  </si>
  <si>
    <t>s200d10+s200d10</t>
  </si>
  <si>
    <t>s200d10+s200d12</t>
  </si>
  <si>
    <t>s200d10+s100d10</t>
  </si>
  <si>
    <t>s200d10+s100d12</t>
  </si>
  <si>
    <t>s200d10+s100d16</t>
  </si>
  <si>
    <t>Фон ф12 шаг 250</t>
  </si>
  <si>
    <t>Фон ф12 шаг 200</t>
  </si>
  <si>
    <t>s250d12</t>
  </si>
  <si>
    <t>s250d12+s250d12</t>
  </si>
  <si>
    <t>s250d12+s250d16</t>
  </si>
  <si>
    <t>s250d12+s125d12</t>
  </si>
  <si>
    <t>s250d12+s125d16</t>
  </si>
  <si>
    <t>s250d12+s125d20</t>
  </si>
  <si>
    <t>s250d10</t>
  </si>
  <si>
    <t>s250d10+s250d10</t>
  </si>
  <si>
    <t>s250d10+s125d10</t>
  </si>
  <si>
    <t>s200d8</t>
  </si>
  <si>
    <t>s100d8</t>
  </si>
  <si>
    <t>s100d10</t>
  </si>
  <si>
    <t>s100d12</t>
  </si>
  <si>
    <t>s100d16</t>
  </si>
  <si>
    <t>s100d20</t>
  </si>
  <si>
    <t>s100d25</t>
  </si>
  <si>
    <t>Sсм2</t>
  </si>
  <si>
    <t>Вертикальная</t>
  </si>
  <si>
    <t>s100d28</t>
  </si>
  <si>
    <t>s100d32</t>
  </si>
  <si>
    <t>s100d36</t>
  </si>
  <si>
    <t>s125d16</t>
  </si>
  <si>
    <t>s125d20</t>
  </si>
  <si>
    <t>s125d25</t>
  </si>
  <si>
    <t>s125d28</t>
  </si>
  <si>
    <t>s125d32</t>
  </si>
  <si>
    <t>s125d36</t>
  </si>
  <si>
    <t xml:space="preserve"> - ячейки для заполнения</t>
  </si>
  <si>
    <t xml:space="preserve"> - ячейки выбора</t>
  </si>
  <si>
    <t>s250d10+s125d16</t>
  </si>
  <si>
    <t>Характеристики бетонов для прогрессирующего</t>
  </si>
  <si>
    <t>Rbn Мпа</t>
  </si>
  <si>
    <t>Rbt Мпа</t>
  </si>
  <si>
    <t>Rb Мпа</t>
  </si>
  <si>
    <t>1.15*Rbn Мпа</t>
  </si>
  <si>
    <t>1.15*Rbt Мпа</t>
  </si>
  <si>
    <t>1.15*Rb Мпа</t>
  </si>
  <si>
    <t>5. Готово</t>
  </si>
  <si>
    <t>4.3. Для стен расставить горизонтальную арматуру с учетом продольной и требуемой арматуры</t>
  </si>
  <si>
    <t>4.2. Расставить усиление торцов стен, если требуется</t>
  </si>
  <si>
    <t>4.1. Расставить вертикальное армирование с учетом огнестойкисти для стен</t>
  </si>
  <si>
    <t>3.4. Для пилонов расставить горизонтальную арматуру с учетом продольной и требуемой арматуры</t>
  </si>
  <si>
    <t xml:space="preserve">3.3. Для пилонов с d16 и выше проверить на необходимость арматуры на трещиностойкость, если не требуется, сечение сжато </t>
  </si>
  <si>
    <t>3.2. Расставить усиление торцов пилонов</t>
  </si>
  <si>
    <t>3.1. Расставить вертикальное армирование с учетом огнестойкисти для пилонов</t>
  </si>
  <si>
    <t>2.5. Сохранить pdf и ворд со шкалами огнестойкости</t>
  </si>
  <si>
    <t>2.4. Пробежаться через фрагментацию по сечениям и выгрузить горизонтальное армирование</t>
  </si>
  <si>
    <t>2.3. Пробежаться через фрагментацию по сечениям и выгрузить снимки огнестойкости через документатор</t>
  </si>
  <si>
    <t>2.2. Подготовить под каждое сечение снимок с вертикальным армированием</t>
  </si>
  <si>
    <t xml:space="preserve">2.1. Разбить план на сечения и подготовить в лире папку с содержанием и каждой папкой под сечение </t>
  </si>
  <si>
    <t>1. Проаналиризовать армирование и огнстойкость на разбивку по этажам</t>
  </si>
  <si>
    <t>В2, 200х200</t>
  </si>
  <si>
    <t>В1, 400х200</t>
  </si>
  <si>
    <t>В3, 400х600</t>
  </si>
  <si>
    <t>S, мм</t>
  </si>
  <si>
    <t>d8</t>
  </si>
  <si>
    <t>d6</t>
  </si>
  <si>
    <t>D, мм</t>
  </si>
  <si>
    <r>
      <rPr>
        <i/>
        <sz val="8"/>
        <color rgb="FFFF0000"/>
        <rFont val="Calibri"/>
        <family val="2"/>
        <charset val="204"/>
        <scheme val="minor"/>
      </rPr>
      <t>d6 до d20, d8 при d25 и более;</t>
    </r>
    <r>
      <rPr>
        <i/>
        <sz val="8"/>
        <color theme="1"/>
        <rFont val="Calibri"/>
        <family val="2"/>
        <charset val="204"/>
        <scheme val="minor"/>
      </rPr>
      <t xml:space="preserve"> </t>
    </r>
    <r>
      <rPr>
        <i/>
        <sz val="8"/>
        <color rgb="FF0070C0"/>
        <rFont val="Calibri"/>
        <family val="2"/>
        <charset val="204"/>
        <scheme val="minor"/>
      </rPr>
      <t xml:space="preserve">до 2% вар.1 400х200, </t>
    </r>
    <r>
      <rPr>
        <i/>
        <sz val="8"/>
        <color rgb="FFFF0000"/>
        <rFont val="Calibri"/>
        <family val="2"/>
        <charset val="204"/>
        <scheme val="minor"/>
      </rPr>
      <t xml:space="preserve">более 2% вар.2 200х200; </t>
    </r>
    <r>
      <rPr>
        <b/>
        <i/>
        <sz val="8"/>
        <rFont val="Calibri"/>
        <family val="2"/>
        <charset val="204"/>
        <scheme val="minor"/>
      </rPr>
      <t>В4 (пилон) 200хКаждое пересечение</t>
    </r>
  </si>
  <si>
    <t>Шпилька:</t>
  </si>
  <si>
    <t>Sперехлеста, мм</t>
  </si>
  <si>
    <t>Sосной, мм</t>
  </si>
  <si>
    <t>d10</t>
  </si>
  <si>
    <t>Х</t>
  </si>
  <si>
    <t>Min D, мм</t>
  </si>
  <si>
    <r>
      <rPr>
        <i/>
        <sz val="8"/>
        <color rgb="FFFF0000"/>
        <rFont val="Calibri"/>
        <family val="2"/>
        <charset val="204"/>
        <scheme val="minor"/>
      </rPr>
      <t>до 3% 15d или 500 мм;</t>
    </r>
    <r>
      <rPr>
        <i/>
        <sz val="8"/>
        <color theme="1"/>
        <rFont val="Calibri"/>
        <family val="2"/>
        <charset val="204"/>
        <scheme val="minor"/>
      </rPr>
      <t xml:space="preserve"> </t>
    </r>
    <r>
      <rPr>
        <i/>
        <sz val="8"/>
        <color rgb="FF0070C0"/>
        <rFont val="Calibri"/>
        <family val="2"/>
        <charset val="204"/>
        <scheme val="minor"/>
      </rPr>
      <t xml:space="preserve">более 3% 10d или 300 мм; </t>
    </r>
    <r>
      <rPr>
        <i/>
        <sz val="8"/>
        <color rgb="FFFF0000"/>
        <rFont val="Calibri"/>
        <family val="2"/>
        <charset val="204"/>
        <scheme val="minor"/>
      </rPr>
      <t xml:space="preserve">в зоне перехлеста 10d </t>
    </r>
  </si>
  <si>
    <t>Горизонтал пилонов:</t>
  </si>
  <si>
    <t>250 (300)</t>
  </si>
  <si>
    <r>
      <rPr>
        <i/>
        <sz val="8"/>
        <color rgb="FFFF0000"/>
        <rFont val="Calibri"/>
        <family val="2"/>
        <charset val="204"/>
        <scheme val="minor"/>
      </rPr>
      <t>до 2% 20d или 600 мм;</t>
    </r>
    <r>
      <rPr>
        <i/>
        <sz val="8"/>
        <color theme="1"/>
        <rFont val="Calibri"/>
        <family val="2"/>
        <charset val="204"/>
        <scheme val="minor"/>
      </rPr>
      <t xml:space="preserve"> </t>
    </r>
    <r>
      <rPr>
        <i/>
        <sz val="8"/>
        <color rgb="FF0070C0"/>
        <rFont val="Calibri"/>
        <family val="2"/>
        <charset val="204"/>
        <scheme val="minor"/>
      </rPr>
      <t>более 2% 15d или 500 мм и в зоне перехлеста 10d или 500 мм или 2-х шагов верт. арматуры</t>
    </r>
  </si>
  <si>
    <t>Горизонтал стен:</t>
  </si>
  <si>
    <t>4d16s100</t>
  </si>
  <si>
    <t>4d12s100</t>
  </si>
  <si>
    <t>Усиление торца вн.</t>
  </si>
  <si>
    <t>Усиление угла нар.</t>
  </si>
  <si>
    <t>6d16s100</t>
  </si>
  <si>
    <t>6d12s100</t>
  </si>
  <si>
    <t>Усиление торца нар.</t>
  </si>
  <si>
    <t>для вн. пилонов &gt;=d16 проверить арм. на трещ., если не требуется, то ставим на сжатую нахлестку</t>
  </si>
  <si>
    <t>Вертикал:</t>
  </si>
  <si>
    <t>% арм</t>
  </si>
  <si>
    <t>Sарм, см.кв./м.</t>
  </si>
  <si>
    <t>d36s100</t>
  </si>
  <si>
    <t>d32s100</t>
  </si>
  <si>
    <t>d28s100</t>
  </si>
  <si>
    <t>d25s100</t>
  </si>
  <si>
    <t>d20s100</t>
  </si>
  <si>
    <t>d16s100</t>
  </si>
  <si>
    <t>d16s200</t>
  </si>
  <si>
    <t>d12s200</t>
  </si>
  <si>
    <t>d10s200</t>
  </si>
  <si>
    <t>Не требуется (d10s200)</t>
  </si>
  <si>
    <t>В2, 250х200</t>
  </si>
  <si>
    <t>В1, 500х200</t>
  </si>
  <si>
    <t>В3, 500х500</t>
  </si>
  <si>
    <r>
      <rPr>
        <i/>
        <sz val="8"/>
        <color rgb="FFFF0000"/>
        <rFont val="Calibri"/>
        <family val="2"/>
        <charset val="204"/>
        <scheme val="minor"/>
      </rPr>
      <t>d6 до d20, d8 при d25 и более;</t>
    </r>
    <r>
      <rPr>
        <i/>
        <sz val="8"/>
        <color theme="1"/>
        <rFont val="Calibri"/>
        <family val="2"/>
        <charset val="204"/>
        <scheme val="minor"/>
      </rPr>
      <t xml:space="preserve"> </t>
    </r>
    <r>
      <rPr>
        <i/>
        <sz val="8"/>
        <color rgb="FF0070C0"/>
        <rFont val="Calibri"/>
        <family val="2"/>
        <charset val="204"/>
        <scheme val="minor"/>
      </rPr>
      <t xml:space="preserve">до 2% вар.1 500х200, </t>
    </r>
    <r>
      <rPr>
        <i/>
        <sz val="8"/>
        <color rgb="FFFF0000"/>
        <rFont val="Calibri"/>
        <family val="2"/>
        <charset val="204"/>
        <scheme val="minor"/>
      </rPr>
      <t xml:space="preserve">более 2% вар.2 250х200; </t>
    </r>
    <r>
      <rPr>
        <b/>
        <i/>
        <sz val="8"/>
        <rFont val="Calibri"/>
        <family val="2"/>
        <charset val="204"/>
        <scheme val="minor"/>
      </rPr>
      <t>В4 (пилон) 250хКаждое пересечение</t>
    </r>
  </si>
  <si>
    <t>4d16s125</t>
  </si>
  <si>
    <t>4d12s125</t>
  </si>
  <si>
    <t>6d16s125</t>
  </si>
  <si>
    <t>6d12s125</t>
  </si>
  <si>
    <t>d36s125</t>
  </si>
  <si>
    <t>d32s125</t>
  </si>
  <si>
    <t>d28s125</t>
  </si>
  <si>
    <t>d25s125</t>
  </si>
  <si>
    <t>d20s125</t>
  </si>
  <si>
    <t>d16s125</t>
  </si>
  <si>
    <t>d16s250</t>
  </si>
  <si>
    <t>d12s250</t>
  </si>
  <si>
    <t>d10s250</t>
  </si>
  <si>
    <t>Не требуется (d10s250)</t>
  </si>
  <si>
    <t>400 мм</t>
  </si>
  <si>
    <t>350 мм</t>
  </si>
  <si>
    <t>300 мм</t>
  </si>
  <si>
    <t>250 мм</t>
  </si>
  <si>
    <t>200 мм</t>
  </si>
  <si>
    <t>180 мм</t>
  </si>
  <si>
    <t>s250d8</t>
  </si>
  <si>
    <t>s250d8+s250d8</t>
  </si>
  <si>
    <t>s250d8+s250d12</t>
  </si>
  <si>
    <t>s250d8+s125d16</t>
  </si>
  <si>
    <t>Фон ф8 шаг 250</t>
  </si>
  <si>
    <t>s250d8+s125d12</t>
  </si>
  <si>
    <t>10/250 + 10/125</t>
  </si>
  <si>
    <t>10/250 + 10/250</t>
  </si>
  <si>
    <t>8/250 + 12/250</t>
  </si>
  <si>
    <t>8/250 + 8/250</t>
  </si>
  <si>
    <t>Фоновое армирование ф10/ф8_B25
Плита типового з.с. Низ 30_з.с. Верх 30</t>
  </si>
  <si>
    <t>s200d8+s200d8</t>
  </si>
  <si>
    <t>s200d8+s200d10</t>
  </si>
  <si>
    <t>s200d8+s200d12</t>
  </si>
  <si>
    <t>s200d8+s100d10</t>
  </si>
  <si>
    <t>s200d8+s100d12</t>
  </si>
  <si>
    <t>s200d8+s100d16</t>
  </si>
  <si>
    <t>s250d8+s250d10</t>
  </si>
  <si>
    <t>s250d8+s125d10</t>
  </si>
  <si>
    <t>s250d10+s250d12</t>
  </si>
  <si>
    <t>s250d10+s125d12</t>
  </si>
  <si>
    <t>Фон ф8 шаг 200</t>
  </si>
  <si>
    <t>горизонт стены</t>
  </si>
  <si>
    <t>горизонт пилоны</t>
  </si>
  <si>
    <t>Порядок подготовки задания на армирование вертикальных конструкций:</t>
  </si>
  <si>
    <t>NDM</t>
  </si>
  <si>
    <r>
      <t xml:space="preserve">sh </t>
    </r>
    <r>
      <rPr>
        <sz val="11"/>
        <color theme="1"/>
        <rFont val="Calibri"/>
        <family val="2"/>
        <charset val="204"/>
        <scheme val="minor"/>
      </rPr>
      <t>- усилия от непродолжительных (условно кратковременных) нагрузок;</t>
    </r>
  </si>
  <si>
    <t>I - усилия от продолжительных (условно длительных) нагрузок;</t>
  </si>
  <si>
    <t>РСН1</t>
  </si>
  <si>
    <t>РСН3</t>
  </si>
  <si>
    <t>8/250 + 10/250</t>
  </si>
  <si>
    <t>8/250 + 10/125</t>
  </si>
  <si>
    <t>Нижний слой по аy1 (2 слой)</t>
  </si>
  <si>
    <t>10/250 + 12/250</t>
  </si>
  <si>
    <t>10/250 + 12/125</t>
  </si>
  <si>
    <t>Фон ф18 шаг 200</t>
  </si>
  <si>
    <t>s200d18</t>
  </si>
  <si>
    <t>s200d18+s200d18</t>
  </si>
  <si>
    <t>s200d18+s200d20</t>
  </si>
  <si>
    <t>s200d18+s200d25</t>
  </si>
  <si>
    <t>s200d18+s100d18</t>
  </si>
  <si>
    <t>s200d18+s100d20</t>
  </si>
  <si>
    <t>s200d18+s100d25</t>
  </si>
  <si>
    <t>Фоновое армирование ф10/ф10_B30
Плита типового з.с. Низ 35_з.с. Верх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</si>
</sst>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d\.m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name val="ISOCPEUR"/>
      <family val="2"/>
      <charset val="204"/>
    </font>
    <font>
      <sz val="11"/>
      <color theme="1"/>
      <name val="ISOCPEUR"/>
      <family val="2"/>
      <charset val="204"/>
    </font>
    <font>
      <b/>
      <sz val="11"/>
      <color theme="1"/>
      <name val="ISOCPEUR"/>
      <family val="2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FF"/>
      <name val="Calibri"/>
      <family val="2"/>
      <charset val="204"/>
      <scheme val="minor"/>
    </font>
    <font>
      <b/>
      <sz val="11"/>
      <color rgb="FFED7D3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indexed="58"/>
      <name val="Arial Cyr"/>
      <charset val="204"/>
    </font>
    <font>
      <sz val="10"/>
      <name val="Arial Cyr"/>
      <charset val="204"/>
    </font>
    <font>
      <b/>
      <u/>
      <sz val="16"/>
      <color rgb="FF1616FE"/>
      <name val="Arial Cyr"/>
      <charset val="204"/>
    </font>
    <font>
      <sz val="9"/>
      <name val="Arial Cyr"/>
      <charset val="204"/>
    </font>
    <font>
      <b/>
      <sz val="9"/>
      <name val="Arial Cyr"/>
      <charset val="204"/>
    </font>
    <font>
      <b/>
      <sz val="14"/>
      <name val="Arial Cyr"/>
      <charset val="204"/>
    </font>
    <font>
      <sz val="14"/>
      <name val="Arial Cyr"/>
      <charset val="204"/>
    </font>
    <font>
      <b/>
      <sz val="10"/>
      <name val="Arial Cyr"/>
      <charset val="204"/>
    </font>
    <font>
      <u/>
      <sz val="14"/>
      <name val="Arial Cyr"/>
      <charset val="204"/>
    </font>
    <font>
      <sz val="8"/>
      <name val="Arial Cyr"/>
      <charset val="204"/>
    </font>
    <font>
      <b/>
      <u/>
      <sz val="16"/>
      <color rgb="FF1616FE"/>
      <name val="Calibri"/>
      <family val="2"/>
      <charset val="204"/>
    </font>
    <font>
      <b/>
      <u/>
      <sz val="16"/>
      <color rgb="FF1616FE"/>
      <name val="Arial"/>
      <family val="2"/>
      <charset val="204"/>
    </font>
    <font>
      <b/>
      <u/>
      <sz val="12"/>
      <color rgb="FF2703FD"/>
      <name val="Arial Cyr"/>
      <charset val="204"/>
    </font>
    <font>
      <b/>
      <u/>
      <sz val="12"/>
      <color indexed="10"/>
      <name val="Arial Cyr"/>
      <charset val="204"/>
    </font>
    <font>
      <i/>
      <sz val="12"/>
      <color rgb="FF2703FD"/>
      <name val="Arial Cyr"/>
      <charset val="204"/>
    </font>
    <font>
      <sz val="10"/>
      <name val="Arial"/>
      <family val="2"/>
      <charset val="204"/>
    </font>
    <font>
      <sz val="10"/>
      <name val="Calibri"/>
      <family val="2"/>
      <charset val="204"/>
    </font>
    <font>
      <b/>
      <sz val="11"/>
      <color rgb="FF0070C0"/>
      <name val="Arial"/>
      <family val="2"/>
      <charset val="204"/>
    </font>
    <font>
      <b/>
      <sz val="10"/>
      <color rgb="FF0070C0"/>
      <name val="Arial"/>
      <family val="2"/>
      <charset val="204"/>
    </font>
    <font>
      <i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3A0DFB"/>
      <name val="Arial Cyr"/>
      <charset val="204"/>
    </font>
    <font>
      <b/>
      <sz val="1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  <font>
      <strike/>
      <sz val="11"/>
      <color theme="1"/>
      <name val="Calibri"/>
      <family val="2"/>
      <charset val="204"/>
    </font>
    <font>
      <strike/>
      <sz val="10"/>
      <color theme="1"/>
      <name val="Calibri"/>
      <family val="2"/>
      <charset val="204"/>
    </font>
    <font>
      <sz val="11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color rgb="FF7F7F7F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12"/>
      <color rgb="FF444444"/>
      <name val="Arial"/>
      <family val="2"/>
      <charset val="204"/>
    </font>
    <font>
      <sz val="11"/>
      <color rgb="FF000000"/>
      <name val="ISOCPEUR"/>
      <family val="2"/>
      <charset val="204"/>
    </font>
    <font>
      <sz val="11"/>
      <color theme="1"/>
      <name val="ISOCPEUR"/>
      <family val="2"/>
      <charset val="204"/>
    </font>
    <font>
      <sz val="9"/>
      <color rgb="FF000000"/>
      <name val="Arial"/>
      <family val="2"/>
      <charset val="204"/>
    </font>
    <font>
      <sz val="9"/>
      <color rgb="FF000000"/>
      <name val="&quot;GOST Common&quot;"/>
    </font>
    <font>
      <sz val="10"/>
      <color rgb="FF000000"/>
      <name val="ISOCPEUR"/>
      <family val="2"/>
      <charset val="204"/>
    </font>
    <font>
      <sz val="8"/>
      <color rgb="FF000000"/>
      <name val="&quot;GOST Common&quot;"/>
    </font>
    <font>
      <sz val="8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Century Gothic"/>
      <family val="2"/>
      <charset val="204"/>
    </font>
    <font>
      <vertAlign val="superscript"/>
      <sz val="8"/>
      <color theme="1"/>
      <name val="Century Gothic"/>
      <family val="2"/>
      <charset val="204"/>
    </font>
    <font>
      <sz val="11"/>
      <color theme="1"/>
      <name val="Quattrocento Sans"/>
    </font>
    <font>
      <b/>
      <sz val="12"/>
      <color theme="1"/>
      <name val="Quattrocento Sans"/>
    </font>
    <font>
      <vertAlign val="subscript"/>
      <sz val="11"/>
      <color theme="1"/>
      <name val="Segoe UI Light"/>
      <family val="2"/>
      <charset val="204"/>
    </font>
    <font>
      <sz val="8"/>
      <color theme="1"/>
      <name val="Segoe UI Light"/>
      <family val="2"/>
      <charset val="204"/>
    </font>
    <font>
      <sz val="11"/>
      <color theme="1"/>
      <name val="Segoe UI Light"/>
      <family val="2"/>
      <charset val="204"/>
    </font>
    <font>
      <vertAlign val="subscript"/>
      <sz val="12"/>
      <color theme="1"/>
      <name val="Segoe UI Light"/>
      <family val="2"/>
      <charset val="204"/>
    </font>
    <font>
      <sz val="12"/>
      <color theme="1"/>
      <name val="Segoe UI Light"/>
      <family val="2"/>
      <charset val="204"/>
    </font>
    <font>
      <vertAlign val="superscript"/>
      <sz val="11"/>
      <color theme="1"/>
      <name val="Segoe UI Light"/>
      <family val="2"/>
      <charset val="204"/>
    </font>
    <font>
      <b/>
      <sz val="11"/>
      <color theme="1"/>
      <name val="Quattrocento Sans"/>
    </font>
    <font>
      <sz val="9"/>
      <color theme="1"/>
      <name val="Calibri"/>
      <family val="2"/>
      <charset val="204"/>
    </font>
    <font>
      <sz val="12"/>
      <color rgb="FFA5A5A5"/>
      <name val="Quattrocento Sans"/>
    </font>
    <font>
      <sz val="11"/>
      <color rgb="FFA5A5A5"/>
      <name val="Quattrocento Sans"/>
    </font>
    <font>
      <sz val="12"/>
      <color theme="1"/>
      <name val="Quattrocento Sans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0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rgb="FFEA4335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Roboto"/>
    </font>
    <font>
      <b/>
      <sz val="8"/>
      <color theme="1"/>
      <name val="Calibri"/>
      <family val="2"/>
      <charset val="204"/>
    </font>
    <font>
      <sz val="10"/>
      <color rgb="FFEA4335"/>
      <name val="Calibri"/>
      <family val="2"/>
      <charset val="204"/>
    </font>
    <font>
      <b/>
      <u/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</font>
    <font>
      <i/>
      <sz val="10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Roboto"/>
    </font>
    <font>
      <sz val="11"/>
      <color rgb="FF000000"/>
      <name val="Roboto, Arial"/>
    </font>
    <font>
      <b/>
      <u/>
      <sz val="11"/>
      <color rgb="FF000000"/>
      <name val="Roboto, Arial"/>
    </font>
    <font>
      <sz val="11"/>
      <color theme="1"/>
      <name val="Roboto"/>
    </font>
    <font>
      <b/>
      <sz val="11"/>
      <color rgb="FF000000"/>
      <name val="Roboto, Arial"/>
    </font>
    <font>
      <sz val="14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Arial Cyr"/>
      <charset val="204"/>
    </font>
    <font>
      <sz val="14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ISOCPEUR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3" tint="0.3999755851924192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theme="3" tint="0.3999755851924192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u/>
      <sz val="11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i/>
      <sz val="8"/>
      <color rgb="FF0070C0"/>
      <name val="Calibri"/>
      <family val="2"/>
      <charset val="204"/>
      <scheme val="minor"/>
    </font>
    <font>
      <b/>
      <i/>
      <sz val="8"/>
      <name val="Calibri"/>
      <family val="2"/>
      <charset val="204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5FFE3"/>
        <bgColor indexed="64"/>
      </patternFill>
    </fill>
    <fill>
      <gradientFill degree="270">
        <stop position="0">
          <color theme="0"/>
        </stop>
        <stop position="1">
          <color theme="9" tint="0.40000610370189521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auto="1"/>
      </patternFill>
    </fill>
    <fill>
      <patternFill patternType="solid">
        <fgColor rgb="FFFED2D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38F729"/>
        <bgColor indexed="64"/>
      </patternFill>
    </fill>
    <fill>
      <patternFill patternType="solid">
        <fgColor rgb="FF2205F5"/>
        <bgColor indexed="64"/>
      </patternFill>
    </fill>
    <fill>
      <patternFill patternType="solid">
        <fgColor rgb="FF09F1F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5E0B3"/>
        <bgColor rgb="FFC5E0B3"/>
      </patternFill>
    </fill>
    <fill>
      <patternFill patternType="solid">
        <fgColor rgb="FFF4B084"/>
        <bgColor rgb="FFF4B084"/>
      </patternFill>
    </fill>
    <fill>
      <patternFill patternType="solid">
        <fgColor rgb="FF00B0F0"/>
        <bgColor rgb="FF00B0F0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797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5">
    <xf numFmtId="0" fontId="0" fillId="0" borderId="0"/>
    <xf numFmtId="0" fontId="25" fillId="0" borderId="0" applyNumberFormat="0" applyFill="0" applyBorder="0" applyAlignment="0" applyProtection="0"/>
    <xf numFmtId="0" fontId="11" fillId="0" borderId="0"/>
    <xf numFmtId="0" fontId="50" fillId="0" borderId="0"/>
    <xf numFmtId="0" fontId="27" fillId="0" borderId="0"/>
    <xf numFmtId="49" fontId="112" fillId="53" borderId="0">
      <alignment horizontal="center" vertical="center" wrapText="1" shrinkToFit="1"/>
    </xf>
    <xf numFmtId="0" fontId="5" fillId="0" borderId="0"/>
    <xf numFmtId="0" fontId="2" fillId="0" borderId="0"/>
    <xf numFmtId="0" fontId="2" fillId="0" borderId="0"/>
    <xf numFmtId="49" fontId="89" fillId="53" borderId="0">
      <alignment horizontal="center" vertical="center" wrapText="1" shrinkToFit="1"/>
    </xf>
    <xf numFmtId="0" fontId="2" fillId="0" borderId="0"/>
    <xf numFmtId="0" fontId="2" fillId="0" borderId="0"/>
    <xf numFmtId="0" fontId="2" fillId="0" borderId="0"/>
    <xf numFmtId="49" fontId="89" fillId="53" borderId="0">
      <alignment horizontal="center" vertical="center" wrapText="1" shrinkToFit="1"/>
    </xf>
    <xf numFmtId="0" fontId="2" fillId="0" borderId="0"/>
  </cellStyleXfs>
  <cellXfs count="746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0" fillId="0" borderId="0" xfId="0" applyNumberFormat="1"/>
    <xf numFmtId="0" fontId="0" fillId="5" borderId="20" xfId="0" applyFill="1" applyBorder="1" applyAlignment="1">
      <alignment horizontal="center" vertical="center"/>
    </xf>
    <xf numFmtId="0" fontId="0" fillId="0" borderId="1" xfId="0" applyBorder="1"/>
    <xf numFmtId="2" fontId="0" fillId="6" borderId="20" xfId="0" applyNumberFormat="1" applyFill="1" applyBorder="1" applyAlignment="1">
      <alignment horizontal="center" vertical="center"/>
    </xf>
    <xf numFmtId="2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6" borderId="23" xfId="0" applyNumberForma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16" fillId="0" borderId="16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0" borderId="0" xfId="0" applyFont="1"/>
    <xf numFmtId="0" fontId="18" fillId="2" borderId="17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164" fontId="18" fillId="2" borderId="39" xfId="0" applyNumberFormat="1" applyFont="1" applyFill="1" applyBorder="1" applyAlignment="1">
      <alignment horizontal="center" vertical="center"/>
    </xf>
    <xf numFmtId="164" fontId="18" fillId="2" borderId="14" xfId="0" applyNumberFormat="1" applyFont="1" applyFill="1" applyBorder="1" applyAlignment="1">
      <alignment horizontal="center" vertical="center"/>
    </xf>
    <xf numFmtId="164" fontId="18" fillId="2" borderId="40" xfId="0" applyNumberFormat="1" applyFont="1" applyFill="1" applyBorder="1" applyAlignment="1">
      <alignment horizontal="center" vertical="center"/>
    </xf>
    <xf numFmtId="0" fontId="18" fillId="4" borderId="38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164" fontId="18" fillId="2" borderId="13" xfId="0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164" fontId="18" fillId="2" borderId="20" xfId="0" applyNumberFormat="1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4" borderId="46" xfId="0" applyFont="1" applyFill="1" applyBorder="1" applyAlignment="1">
      <alignment horizontal="center" vertical="center"/>
    </xf>
    <xf numFmtId="164" fontId="18" fillId="2" borderId="8" xfId="0" applyNumberFormat="1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164" fontId="18" fillId="2" borderId="50" xfId="0" applyNumberFormat="1" applyFont="1" applyFill="1" applyBorder="1" applyAlignment="1">
      <alignment horizontal="center" vertical="center"/>
    </xf>
    <xf numFmtId="164" fontId="18" fillId="2" borderId="51" xfId="0" applyNumberFormat="1" applyFont="1" applyFill="1" applyBorder="1" applyAlignment="1">
      <alignment horizontal="center" vertical="center"/>
    </xf>
    <xf numFmtId="164" fontId="18" fillId="2" borderId="52" xfId="0" applyNumberFormat="1" applyFont="1" applyFill="1" applyBorder="1" applyAlignment="1">
      <alignment horizontal="center" vertical="center"/>
    </xf>
    <xf numFmtId="0" fontId="21" fillId="0" borderId="0" xfId="0" applyFont="1"/>
    <xf numFmtId="0" fontId="18" fillId="0" borderId="27" xfId="0" applyFont="1" applyBorder="1" applyAlignment="1">
      <alignment horizontal="right"/>
    </xf>
    <xf numFmtId="2" fontId="18" fillId="0" borderId="13" xfId="0" applyNumberFormat="1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2" fontId="18" fillId="0" borderId="34" xfId="0" applyNumberFormat="1" applyFont="1" applyBorder="1" applyAlignment="1">
      <alignment horizontal="center"/>
    </xf>
    <xf numFmtId="2" fontId="18" fillId="0" borderId="18" xfId="0" applyNumberFormat="1" applyFont="1" applyBorder="1" applyAlignment="1">
      <alignment horizontal="center"/>
    </xf>
    <xf numFmtId="2" fontId="18" fillId="9" borderId="18" xfId="0" applyNumberFormat="1" applyFont="1" applyFill="1" applyBorder="1" applyAlignment="1">
      <alignment horizontal="center"/>
    </xf>
    <xf numFmtId="2" fontId="18" fillId="9" borderId="19" xfId="0" applyNumberFormat="1" applyFont="1" applyFill="1" applyBorder="1" applyAlignment="1">
      <alignment horizontal="center"/>
    </xf>
    <xf numFmtId="0" fontId="18" fillId="0" borderId="28" xfId="0" applyFont="1" applyBorder="1" applyAlignment="1">
      <alignment horizontal="right"/>
    </xf>
    <xf numFmtId="2" fontId="18" fillId="0" borderId="1" xfId="0" applyNumberFormat="1" applyFont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0" fontId="18" fillId="0" borderId="35" xfId="0" applyFont="1" applyBorder="1" applyAlignment="1">
      <alignment horizontal="right"/>
    </xf>
    <xf numFmtId="2" fontId="18" fillId="0" borderId="3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18" fillId="0" borderId="37" xfId="0" applyNumberFormat="1" applyFont="1" applyBorder="1" applyAlignment="1">
      <alignment horizontal="center"/>
    </xf>
    <xf numFmtId="0" fontId="18" fillId="0" borderId="38" xfId="0" applyFont="1" applyBorder="1" applyAlignment="1">
      <alignment horizontal="right"/>
    </xf>
    <xf numFmtId="0" fontId="18" fillId="0" borderId="39" xfId="0" applyFont="1" applyBorder="1" applyAlignment="1">
      <alignment horizontal="center"/>
    </xf>
    <xf numFmtId="2" fontId="18" fillId="0" borderId="39" xfId="0" applyNumberFormat="1" applyFont="1" applyBorder="1" applyAlignment="1">
      <alignment horizontal="center"/>
    </xf>
    <xf numFmtId="2" fontId="18" fillId="0" borderId="14" xfId="0" applyNumberFormat="1" applyFont="1" applyBorder="1" applyAlignment="1">
      <alignment horizontal="center"/>
    </xf>
    <xf numFmtId="2" fontId="18" fillId="0" borderId="40" xfId="0" applyNumberFormat="1" applyFont="1" applyBorder="1" applyAlignment="1">
      <alignment horizontal="center"/>
    </xf>
    <xf numFmtId="0" fontId="18" fillId="0" borderId="29" xfId="0" applyFont="1" applyBorder="1" applyAlignment="1">
      <alignment horizontal="right"/>
    </xf>
    <xf numFmtId="0" fontId="18" fillId="0" borderId="4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6" xfId="0" applyFont="1" applyBorder="1"/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2" fontId="18" fillId="0" borderId="19" xfId="0" applyNumberFormat="1" applyFont="1" applyBorder="1" applyAlignment="1">
      <alignment horizontal="center"/>
    </xf>
    <xf numFmtId="2" fontId="18" fillId="0" borderId="41" xfId="0" applyNumberFormat="1" applyFont="1" applyBorder="1" applyAlignment="1">
      <alignment horizontal="center"/>
    </xf>
    <xf numFmtId="2" fontId="18" fillId="0" borderId="22" xfId="0" applyNumberFormat="1" applyFont="1" applyBorder="1" applyAlignment="1">
      <alignment horizontal="center"/>
    </xf>
    <xf numFmtId="2" fontId="18" fillId="0" borderId="23" xfId="0" applyNumberFormat="1" applyFont="1" applyBorder="1" applyAlignment="1">
      <alignment horizontal="center"/>
    </xf>
    <xf numFmtId="0" fontId="18" fillId="0" borderId="45" xfId="0" quotePrefix="1" applyFont="1" applyBorder="1" applyAlignment="1">
      <alignment horizontal="left"/>
    </xf>
    <xf numFmtId="0" fontId="18" fillId="0" borderId="46" xfId="0" applyFont="1" applyBorder="1"/>
    <xf numFmtId="0" fontId="18" fillId="0" borderId="47" xfId="0" applyFont="1" applyBorder="1"/>
    <xf numFmtId="2" fontId="18" fillId="0" borderId="30" xfId="0" applyNumberFormat="1" applyFont="1" applyBorder="1" applyAlignment="1">
      <alignment horizontal="center"/>
    </xf>
    <xf numFmtId="2" fontId="18" fillId="0" borderId="24" xfId="0" applyNumberFormat="1" applyFont="1" applyBorder="1" applyAlignment="1">
      <alignment horizontal="center"/>
    </xf>
    <xf numFmtId="2" fontId="18" fillId="0" borderId="44" xfId="0" applyNumberFormat="1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48" xfId="0" applyFont="1" applyBorder="1" applyAlignment="1">
      <alignment horizontal="right"/>
    </xf>
    <xf numFmtId="1" fontId="18" fillId="0" borderId="34" xfId="0" applyNumberFormat="1" applyFont="1" applyBorder="1" applyAlignment="1">
      <alignment horizontal="center"/>
    </xf>
    <xf numFmtId="0" fontId="18" fillId="0" borderId="49" xfId="0" applyFont="1" applyBorder="1" applyAlignment="1">
      <alignment horizontal="right"/>
    </xf>
    <xf numFmtId="1" fontId="18" fillId="0" borderId="41" xfId="0" applyNumberFormat="1" applyFont="1" applyBorder="1" applyAlignment="1">
      <alignment horizontal="center"/>
    </xf>
    <xf numFmtId="0" fontId="22" fillId="0" borderId="66" xfId="0" applyFont="1" applyBorder="1" applyAlignment="1">
      <alignment horizontal="center" vertical="center" wrapText="1"/>
    </xf>
    <xf numFmtId="0" fontId="22" fillId="0" borderId="67" xfId="0" applyFont="1" applyBorder="1" applyAlignment="1">
      <alignment horizontal="center" vertical="center" wrapText="1"/>
    </xf>
    <xf numFmtId="0" fontId="12" fillId="0" borderId="67" xfId="0" applyFont="1" applyBorder="1" applyAlignment="1">
      <alignment wrapText="1"/>
    </xf>
    <xf numFmtId="0" fontId="22" fillId="0" borderId="68" xfId="0" applyFont="1" applyBorder="1" applyAlignment="1">
      <alignment vertical="center" wrapText="1"/>
    </xf>
    <xf numFmtId="0" fontId="22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wrapText="1"/>
    </xf>
    <xf numFmtId="0" fontId="22" fillId="0" borderId="68" xfId="0" applyFont="1" applyBorder="1" applyAlignment="1">
      <alignment wrapText="1"/>
    </xf>
    <xf numFmtId="0" fontId="23" fillId="0" borderId="56" xfId="0" applyFont="1" applyBorder="1" applyAlignment="1">
      <alignment horizontal="center" vertical="center" wrapText="1"/>
    </xf>
    <xf numFmtId="0" fontId="22" fillId="11" borderId="56" xfId="0" applyFont="1" applyFill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25" fillId="0" borderId="0" xfId="1" applyBorder="1" applyAlignment="1">
      <alignment vertical="center"/>
    </xf>
    <xf numFmtId="0" fontId="12" fillId="0" borderId="0" xfId="0" applyFont="1" applyAlignment="1">
      <alignment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28" xfId="0" applyFont="1" applyFill="1" applyBorder="1" applyAlignment="1">
      <alignment horizontal="center" vertical="center"/>
    </xf>
    <xf numFmtId="0" fontId="18" fillId="13" borderId="28" xfId="0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/>
    </xf>
    <xf numFmtId="0" fontId="0" fillId="14" borderId="4" xfId="0" applyFill="1" applyBorder="1"/>
    <xf numFmtId="0" fontId="26" fillId="15" borderId="4" xfId="0" applyFont="1" applyFill="1" applyBorder="1"/>
    <xf numFmtId="0" fontId="0" fillId="14" borderId="5" xfId="0" applyFill="1" applyBorder="1"/>
    <xf numFmtId="164" fontId="0" fillId="16" borderId="0" xfId="0" applyNumberFormat="1" applyFill="1"/>
    <xf numFmtId="0" fontId="27" fillId="14" borderId="0" xfId="0" applyFont="1" applyFill="1"/>
    <xf numFmtId="0" fontId="26" fillId="15" borderId="0" xfId="0" applyFont="1" applyFill="1"/>
    <xf numFmtId="164" fontId="0" fillId="17" borderId="0" xfId="0" applyNumberFormat="1" applyFill="1"/>
    <xf numFmtId="0" fontId="0" fillId="14" borderId="7" xfId="0" applyFill="1" applyBorder="1"/>
    <xf numFmtId="0" fontId="0" fillId="15" borderId="6" xfId="0" applyFill="1" applyBorder="1"/>
    <xf numFmtId="0" fontId="0" fillId="15" borderId="0" xfId="0" applyFill="1"/>
    <xf numFmtId="0" fontId="0" fillId="15" borderId="7" xfId="0" applyFill="1" applyBorder="1"/>
    <xf numFmtId="0" fontId="26" fillId="0" borderId="0" xfId="0" applyFont="1"/>
    <xf numFmtId="0" fontId="0" fillId="14" borderId="0" xfId="0" applyFill="1"/>
    <xf numFmtId="164" fontId="0" fillId="18" borderId="69" xfId="0" applyNumberFormat="1" applyFill="1" applyBorder="1"/>
    <xf numFmtId="0" fontId="0" fillId="15" borderId="10" xfId="0" applyFill="1" applyBorder="1"/>
    <xf numFmtId="0" fontId="0" fillId="15" borderId="11" xfId="0" applyFill="1" applyBorder="1"/>
    <xf numFmtId="0" fontId="0" fillId="15" borderId="12" xfId="0" applyFill="1" applyBorder="1"/>
    <xf numFmtId="2" fontId="0" fillId="16" borderId="11" xfId="0" applyNumberFormat="1" applyFill="1" applyBorder="1"/>
    <xf numFmtId="0" fontId="27" fillId="14" borderId="12" xfId="0" applyFont="1" applyFill="1" applyBorder="1"/>
    <xf numFmtId="164" fontId="0" fillId="0" borderId="70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/>
    </xf>
    <xf numFmtId="0" fontId="30" fillId="20" borderId="1" xfId="0" applyFont="1" applyFill="1" applyBorder="1" applyAlignment="1">
      <alignment horizontal="center" vertical="center"/>
    </xf>
    <xf numFmtId="164" fontId="0" fillId="21" borderId="1" xfId="0" applyNumberFormat="1" applyFill="1" applyBorder="1" applyAlignment="1">
      <alignment horizontal="center" vertical="center"/>
    </xf>
    <xf numFmtId="0" fontId="29" fillId="6" borderId="14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164" fontId="31" fillId="22" borderId="69" xfId="0" applyNumberFormat="1" applyFont="1" applyFill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21" borderId="1" xfId="0" applyFont="1" applyFill="1" applyBorder="1" applyAlignment="1">
      <alignment horizontal="center" vertical="center"/>
    </xf>
    <xf numFmtId="164" fontId="0" fillId="0" borderId="4" xfId="0" applyNumberFormat="1" applyBorder="1"/>
    <xf numFmtId="164" fontId="0" fillId="0" borderId="3" xfId="0" applyNumberFormat="1" applyBorder="1"/>
    <xf numFmtId="0" fontId="35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0" fillId="0" borderId="14" xfId="0" applyBorder="1" applyAlignment="1">
      <alignment horizontal="center" vertical="center"/>
    </xf>
    <xf numFmtId="2" fontId="29" fillId="6" borderId="1" xfId="0" applyNumberFormat="1" applyFont="1" applyFill="1" applyBorder="1" applyAlignment="1">
      <alignment horizontal="center" vertical="center"/>
    </xf>
    <xf numFmtId="0" fontId="33" fillId="23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40" fillId="0" borderId="6" xfId="0" applyFont="1" applyBorder="1" applyAlignment="1">
      <alignment horizontal="left" vertical="center"/>
    </xf>
    <xf numFmtId="0" fontId="0" fillId="2" borderId="69" xfId="0" applyFill="1" applyBorder="1"/>
    <xf numFmtId="0" fontId="0" fillId="21" borderId="11" xfId="0" applyFill="1" applyBorder="1" applyAlignment="1">
      <alignment horizontal="center" vertical="center"/>
    </xf>
    <xf numFmtId="0" fontId="0" fillId="21" borderId="69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41" fillId="24" borderId="8" xfId="0" applyFont="1" applyFill="1" applyBorder="1" applyAlignment="1">
      <alignment horizontal="center" vertical="center"/>
    </xf>
    <xf numFmtId="164" fontId="0" fillId="2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2" fillId="24" borderId="8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/>
    </xf>
    <xf numFmtId="0" fontId="43" fillId="0" borderId="6" xfId="0" applyFont="1" applyBorder="1"/>
    <xf numFmtId="0" fontId="45" fillId="0" borderId="0" xfId="0" applyFont="1" applyAlignment="1">
      <alignment horizontal="center" vertical="center"/>
    </xf>
    <xf numFmtId="0" fontId="45" fillId="0" borderId="0" xfId="0" applyFont="1"/>
    <xf numFmtId="164" fontId="46" fillId="25" borderId="69" xfId="0" applyNumberFormat="1" applyFont="1" applyFill="1" applyBorder="1"/>
    <xf numFmtId="2" fontId="42" fillId="0" borderId="1" xfId="0" applyNumberFormat="1" applyFont="1" applyBorder="1" applyAlignment="1">
      <alignment horizontal="center" vertical="center"/>
    </xf>
    <xf numFmtId="0" fontId="41" fillId="0" borderId="0" xfId="0" applyFont="1"/>
    <xf numFmtId="0" fontId="0" fillId="0" borderId="11" xfId="0" applyBorder="1" applyAlignment="1">
      <alignment horizontal="center" vertical="center"/>
    </xf>
    <xf numFmtId="2" fontId="45" fillId="0" borderId="1" xfId="0" applyNumberFormat="1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0" fontId="38" fillId="0" borderId="6" xfId="0" applyFont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5" fillId="0" borderId="0" xfId="0" applyNumberFormat="1" applyFont="1" applyAlignment="1">
      <alignment horizontal="center" vertical="center"/>
    </xf>
    <xf numFmtId="0" fontId="41" fillId="0" borderId="6" xfId="0" applyFont="1" applyBorder="1" applyAlignment="1">
      <alignment horizontal="center"/>
    </xf>
    <xf numFmtId="0" fontId="43" fillId="0" borderId="10" xfId="0" applyFont="1" applyBorder="1"/>
    <xf numFmtId="0" fontId="45" fillId="0" borderId="11" xfId="0" applyFont="1" applyBorder="1" applyAlignment="1">
      <alignment horizontal="center" vertical="center"/>
    </xf>
    <xf numFmtId="0" fontId="45" fillId="0" borderId="11" xfId="0" applyFont="1" applyBorder="1"/>
    <xf numFmtId="164" fontId="46" fillId="0" borderId="11" xfId="0" applyNumberFormat="1" applyFont="1" applyBorder="1"/>
    <xf numFmtId="0" fontId="47" fillId="0" borderId="3" xfId="0" applyFont="1" applyBorder="1"/>
    <xf numFmtId="0" fontId="0" fillId="0" borderId="1" xfId="0" applyBorder="1" applyAlignment="1">
      <alignment horizontal="left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1" fontId="18" fillId="0" borderId="28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1" fontId="18" fillId="3" borderId="28" xfId="0" applyNumberFormat="1" applyFont="1" applyFill="1" applyBorder="1" applyAlignment="1">
      <alignment horizontal="center" vertical="center"/>
    </xf>
    <xf numFmtId="1" fontId="18" fillId="3" borderId="53" xfId="0" applyNumberFormat="1" applyFont="1" applyFill="1" applyBorder="1" applyAlignment="1">
      <alignment horizontal="center" vertical="center"/>
    </xf>
    <xf numFmtId="0" fontId="11" fillId="0" borderId="0" xfId="2"/>
    <xf numFmtId="0" fontId="11" fillId="0" borderId="27" xfId="2" applyBorder="1" applyAlignment="1">
      <alignment horizontal="center"/>
    </xf>
    <xf numFmtId="0" fontId="11" fillId="0" borderId="71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2" fontId="11" fillId="0" borderId="38" xfId="2" applyNumberFormat="1" applyBorder="1" applyAlignment="1">
      <alignment horizontal="center"/>
    </xf>
    <xf numFmtId="0" fontId="11" fillId="0" borderId="77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0" fontId="11" fillId="0" borderId="9" xfId="2" applyBorder="1" applyAlignment="1">
      <alignment horizontal="center"/>
    </xf>
    <xf numFmtId="2" fontId="11" fillId="0" borderId="29" xfId="2" applyNumberFormat="1" applyBorder="1" applyAlignment="1">
      <alignment horizontal="center"/>
    </xf>
    <xf numFmtId="0" fontId="11" fillId="0" borderId="75" xfId="2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5" xfId="2" applyBorder="1" applyAlignment="1">
      <alignment horizontal="center"/>
    </xf>
    <xf numFmtId="0" fontId="11" fillId="0" borderId="76" xfId="2" applyBorder="1" applyAlignment="1">
      <alignment horizontal="right"/>
    </xf>
    <xf numFmtId="0" fontId="22" fillId="0" borderId="28" xfId="2" applyFont="1" applyBorder="1" applyAlignment="1">
      <alignment horizontal="center"/>
    </xf>
    <xf numFmtId="0" fontId="11" fillId="0" borderId="71" xfId="2" applyBorder="1" applyAlignment="1">
      <alignment horizontal="center" vertical="center"/>
    </xf>
    <xf numFmtId="0" fontId="11" fillId="0" borderId="9" xfId="2" applyBorder="1" applyAlignment="1">
      <alignment horizontal="center" vertical="center"/>
    </xf>
    <xf numFmtId="0" fontId="11" fillId="0" borderId="77" xfId="2" applyBorder="1" applyAlignment="1">
      <alignment horizontal="center" vertical="center"/>
    </xf>
    <xf numFmtId="0" fontId="11" fillId="0" borderId="75" xfId="2" applyBorder="1" applyAlignment="1">
      <alignment horizontal="center" vertical="center"/>
    </xf>
    <xf numFmtId="0" fontId="11" fillId="0" borderId="76" xfId="2" applyBorder="1" applyAlignment="1">
      <alignment horizontal="center" vertical="center"/>
    </xf>
    <xf numFmtId="10" fontId="11" fillId="0" borderId="0" xfId="2" applyNumberFormat="1" applyAlignment="1">
      <alignment horizontal="center" vertical="center" textRotation="90"/>
    </xf>
    <xf numFmtId="0" fontId="11" fillId="0" borderId="0" xfId="2" applyAlignment="1">
      <alignment horizontal="center"/>
    </xf>
    <xf numFmtId="2" fontId="11" fillId="0" borderId="0" xfId="2" applyNumberFormat="1" applyAlignment="1">
      <alignment horizontal="center"/>
    </xf>
    <xf numFmtId="0" fontId="10" fillId="0" borderId="27" xfId="2" applyFont="1" applyBorder="1" applyAlignment="1">
      <alignment horizontal="center"/>
    </xf>
    <xf numFmtId="0" fontId="8" fillId="0" borderId="77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75" xfId="2" applyFont="1" applyBorder="1" applyAlignment="1">
      <alignment horizontal="center" vertical="center"/>
    </xf>
    <xf numFmtId="0" fontId="8" fillId="0" borderId="71" xfId="2" applyFont="1" applyBorder="1" applyAlignment="1">
      <alignment horizontal="center" vertical="center"/>
    </xf>
    <xf numFmtId="0" fontId="7" fillId="0" borderId="9" xfId="2" applyFont="1" applyBorder="1" applyAlignment="1">
      <alignment horizontal="center"/>
    </xf>
    <xf numFmtId="2" fontId="11" fillId="7" borderId="38" xfId="2" applyNumberFormat="1" applyFill="1" applyBorder="1" applyAlignment="1">
      <alignment horizontal="center"/>
    </xf>
    <xf numFmtId="2" fontId="11" fillId="4" borderId="38" xfId="2" applyNumberFormat="1" applyFill="1" applyBorder="1" applyAlignment="1">
      <alignment horizontal="center"/>
    </xf>
    <xf numFmtId="2" fontId="11" fillId="26" borderId="38" xfId="2" applyNumberFormat="1" applyFill="1" applyBorder="1" applyAlignment="1">
      <alignment horizontal="center"/>
    </xf>
    <xf numFmtId="2" fontId="11" fillId="27" borderId="38" xfId="2" applyNumberFormat="1" applyFill="1" applyBorder="1" applyAlignment="1">
      <alignment horizontal="center"/>
    </xf>
    <xf numFmtId="2" fontId="11" fillId="9" borderId="38" xfId="2" applyNumberFormat="1" applyFill="1" applyBorder="1" applyAlignment="1">
      <alignment horizontal="center"/>
    </xf>
    <xf numFmtId="2" fontId="11" fillId="28" borderId="38" xfId="2" applyNumberFormat="1" applyFill="1" applyBorder="1" applyAlignment="1">
      <alignment horizontal="center"/>
    </xf>
    <xf numFmtId="0" fontId="0" fillId="7" borderId="1" xfId="0" applyFill="1" applyBorder="1"/>
    <xf numFmtId="0" fontId="0" fillId="22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9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4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right"/>
    </xf>
    <xf numFmtId="0" fontId="50" fillId="0" borderId="0" xfId="3"/>
    <xf numFmtId="2" fontId="50" fillId="0" borderId="0" xfId="3" applyNumberFormat="1"/>
    <xf numFmtId="2" fontId="51" fillId="35" borderId="61" xfId="3" applyNumberFormat="1" applyFont="1" applyFill="1" applyBorder="1" applyAlignment="1">
      <alignment horizontal="center"/>
    </xf>
    <xf numFmtId="0" fontId="50" fillId="0" borderId="61" xfId="3" applyBorder="1" applyAlignment="1">
      <alignment horizontal="center"/>
    </xf>
    <xf numFmtId="0" fontId="50" fillId="0" borderId="61" xfId="3" applyBorder="1"/>
    <xf numFmtId="0" fontId="51" fillId="36" borderId="61" xfId="3" applyFont="1" applyFill="1" applyBorder="1" applyAlignment="1">
      <alignment horizontal="center"/>
    </xf>
    <xf numFmtId="0" fontId="51" fillId="37" borderId="61" xfId="3" applyFont="1" applyFill="1" applyBorder="1" applyAlignment="1">
      <alignment horizontal="center"/>
    </xf>
    <xf numFmtId="0" fontId="51" fillId="38" borderId="61" xfId="3" applyFont="1" applyFill="1" applyBorder="1" applyAlignment="1">
      <alignment horizontal="center"/>
    </xf>
    <xf numFmtId="0" fontId="51" fillId="39" borderId="61" xfId="3" applyFont="1" applyFill="1" applyBorder="1" applyAlignment="1">
      <alignment horizontal="center"/>
    </xf>
    <xf numFmtId="0" fontId="51" fillId="40" borderId="61" xfId="3" applyFont="1" applyFill="1" applyBorder="1" applyAlignment="1">
      <alignment horizontal="center"/>
    </xf>
    <xf numFmtId="0" fontId="50" fillId="0" borderId="0" xfId="3" applyAlignment="1">
      <alignment horizontal="center"/>
    </xf>
    <xf numFmtId="2" fontId="50" fillId="0" borderId="61" xfId="3" applyNumberFormat="1" applyBorder="1" applyAlignment="1">
      <alignment horizontal="center"/>
    </xf>
    <xf numFmtId="0" fontId="52" fillId="0" borderId="0" xfId="3" quotePrefix="1" applyFont="1" applyAlignment="1">
      <alignment horizontal="center" vertical="center"/>
    </xf>
    <xf numFmtId="0" fontId="50" fillId="41" borderId="61" xfId="3" applyFill="1" applyBorder="1" applyAlignment="1">
      <alignment horizontal="center"/>
    </xf>
    <xf numFmtId="0" fontId="51" fillId="42" borderId="61" xfId="3" applyFont="1" applyFill="1" applyBorder="1" applyAlignment="1">
      <alignment horizontal="center"/>
    </xf>
    <xf numFmtId="0" fontId="50" fillId="0" borderId="65" xfId="3" applyBorder="1"/>
    <xf numFmtId="0" fontId="50" fillId="0" borderId="64" xfId="3" applyBorder="1"/>
    <xf numFmtId="0" fontId="50" fillId="0" borderId="63" xfId="3" applyBorder="1"/>
    <xf numFmtId="0" fontId="51" fillId="0" borderId="62" xfId="3" applyFont="1" applyBorder="1"/>
    <xf numFmtId="0" fontId="51" fillId="0" borderId="0" xfId="3" applyFont="1"/>
    <xf numFmtId="0" fontId="51" fillId="0" borderId="61" xfId="3" applyFont="1" applyBorder="1" applyAlignment="1">
      <alignment horizontal="center"/>
    </xf>
    <xf numFmtId="0" fontId="51" fillId="0" borderId="60" xfId="3" applyFont="1" applyBorder="1" applyAlignment="1">
      <alignment horizontal="center"/>
    </xf>
    <xf numFmtId="0" fontId="50" fillId="0" borderId="62" xfId="3" applyBorder="1"/>
    <xf numFmtId="0" fontId="50" fillId="0" borderId="60" xfId="3" applyBorder="1"/>
    <xf numFmtId="0" fontId="51" fillId="10" borderId="61" xfId="3" applyFont="1" applyFill="1" applyBorder="1" applyAlignment="1">
      <alignment horizontal="center"/>
    </xf>
    <xf numFmtId="165" fontId="51" fillId="43" borderId="61" xfId="3" applyNumberFormat="1" applyFont="1" applyFill="1" applyBorder="1" applyAlignment="1">
      <alignment horizontal="center" vertical="center"/>
    </xf>
    <xf numFmtId="2" fontId="51" fillId="0" borderId="0" xfId="3" applyNumberFormat="1" applyFont="1"/>
    <xf numFmtId="0" fontId="53" fillId="0" borderId="0" xfId="3" applyFont="1"/>
    <xf numFmtId="0" fontId="51" fillId="0" borderId="0" xfId="3" applyFont="1" applyAlignment="1">
      <alignment horizontal="center"/>
    </xf>
    <xf numFmtId="0" fontId="55" fillId="0" borderId="0" xfId="3" applyFont="1" applyAlignment="1">
      <alignment horizontal="center"/>
    </xf>
    <xf numFmtId="10" fontId="51" fillId="0" borderId="0" xfId="3" applyNumberFormat="1" applyFont="1" applyAlignment="1">
      <alignment horizontal="center"/>
    </xf>
    <xf numFmtId="0" fontId="51" fillId="0" borderId="60" xfId="3" applyFont="1" applyBorder="1" applyAlignment="1">
      <alignment horizontal="left"/>
    </xf>
    <xf numFmtId="0" fontId="50" fillId="0" borderId="59" xfId="3" applyBorder="1"/>
    <xf numFmtId="0" fontId="50" fillId="0" borderId="58" xfId="3" applyBorder="1"/>
    <xf numFmtId="0" fontId="50" fillId="0" borderId="57" xfId="3" applyBorder="1"/>
    <xf numFmtId="2" fontId="51" fillId="35" borderId="79" xfId="3" applyNumberFormat="1" applyFont="1" applyFill="1" applyBorder="1" applyAlignment="1">
      <alignment horizontal="center"/>
    </xf>
    <xf numFmtId="2" fontId="51" fillId="35" borderId="80" xfId="3" applyNumberFormat="1" applyFont="1" applyFill="1" applyBorder="1" applyAlignment="1">
      <alignment horizontal="center"/>
    </xf>
    <xf numFmtId="2" fontId="51" fillId="35" borderId="81" xfId="3" applyNumberFormat="1" applyFont="1" applyFill="1" applyBorder="1" applyAlignment="1">
      <alignment horizontal="center"/>
    </xf>
    <xf numFmtId="0" fontId="51" fillId="35" borderId="82" xfId="3" applyFont="1" applyFill="1" applyBorder="1" applyAlignment="1">
      <alignment horizontal="center"/>
    </xf>
    <xf numFmtId="2" fontId="51" fillId="0" borderId="84" xfId="3" applyNumberFormat="1" applyFont="1" applyBorder="1" applyAlignment="1">
      <alignment horizontal="center"/>
    </xf>
    <xf numFmtId="2" fontId="51" fillId="0" borderId="61" xfId="3" applyNumberFormat="1" applyFont="1" applyBorder="1" applyAlignment="1">
      <alignment horizontal="center"/>
    </xf>
    <xf numFmtId="2" fontId="51" fillId="0" borderId="85" xfId="3" applyNumberFormat="1" applyFont="1" applyBorder="1" applyAlignment="1">
      <alignment horizontal="center"/>
    </xf>
    <xf numFmtId="0" fontId="51" fillId="0" borderId="82" xfId="3" applyFont="1" applyBorder="1" applyAlignment="1">
      <alignment horizontal="center"/>
    </xf>
    <xf numFmtId="0" fontId="51" fillId="0" borderId="65" xfId="3" applyFont="1" applyBorder="1"/>
    <xf numFmtId="0" fontId="53" fillId="0" borderId="64" xfId="3" applyFont="1" applyBorder="1" applyAlignment="1">
      <alignment horizontal="center"/>
    </xf>
    <xf numFmtId="0" fontId="50" fillId="0" borderId="64" xfId="3" applyBorder="1" applyAlignment="1">
      <alignment horizontal="right"/>
    </xf>
    <xf numFmtId="2" fontId="51" fillId="35" borderId="84" xfId="3" applyNumberFormat="1" applyFont="1" applyFill="1" applyBorder="1" applyAlignment="1">
      <alignment horizontal="center"/>
    </xf>
    <xf numFmtId="2" fontId="51" fillId="35" borderId="85" xfId="3" applyNumberFormat="1" applyFont="1" applyFill="1" applyBorder="1" applyAlignment="1">
      <alignment horizontal="center"/>
    </xf>
    <xf numFmtId="2" fontId="50" fillId="0" borderId="64" xfId="3" applyNumberFormat="1" applyBorder="1" applyAlignment="1">
      <alignment horizontal="center"/>
    </xf>
    <xf numFmtId="0" fontId="50" fillId="0" borderId="0" xfId="3" applyAlignment="1">
      <alignment horizontal="right"/>
    </xf>
    <xf numFmtId="0" fontId="50" fillId="0" borderId="62" xfId="3" applyBorder="1" applyAlignment="1">
      <alignment horizontal="center"/>
    </xf>
    <xf numFmtId="0" fontId="51" fillId="0" borderId="57" xfId="3" applyFont="1" applyBorder="1"/>
    <xf numFmtId="2" fontId="51" fillId="0" borderId="87" xfId="3" applyNumberFormat="1" applyFont="1" applyBorder="1" applyAlignment="1">
      <alignment horizontal="center"/>
    </xf>
    <xf numFmtId="2" fontId="51" fillId="0" borderId="88" xfId="3" applyNumberFormat="1" applyFont="1" applyBorder="1" applyAlignment="1">
      <alignment horizontal="center"/>
    </xf>
    <xf numFmtId="2" fontId="51" fillId="0" borderId="89" xfId="3" applyNumberFormat="1" applyFont="1" applyBorder="1" applyAlignment="1">
      <alignment horizontal="center"/>
    </xf>
    <xf numFmtId="0" fontId="51" fillId="0" borderId="64" xfId="3" applyFont="1" applyBorder="1"/>
    <xf numFmtId="0" fontId="51" fillId="0" borderId="63" xfId="3" applyFont="1" applyBorder="1"/>
    <xf numFmtId="0" fontId="51" fillId="0" borderId="90" xfId="3" applyFont="1" applyBorder="1" applyAlignment="1">
      <alignment horizontal="center"/>
    </xf>
    <xf numFmtId="0" fontId="51" fillId="0" borderId="60" xfId="3" applyFont="1" applyBorder="1"/>
    <xf numFmtId="0" fontId="53" fillId="0" borderId="91" xfId="3" applyFont="1" applyBorder="1" applyAlignment="1">
      <alignment horizontal="center"/>
    </xf>
    <xf numFmtId="0" fontId="55" fillId="0" borderId="91" xfId="3" applyFont="1" applyBorder="1" applyAlignment="1">
      <alignment horizontal="center"/>
    </xf>
    <xf numFmtId="2" fontId="51" fillId="0" borderId="0" xfId="3" applyNumberFormat="1" applyFont="1" applyAlignment="1">
      <alignment horizontal="center"/>
    </xf>
    <xf numFmtId="0" fontId="50" fillId="0" borderId="94" xfId="3" applyBorder="1" applyAlignment="1">
      <alignment horizontal="center"/>
    </xf>
    <xf numFmtId="2" fontId="51" fillId="0" borderId="94" xfId="3" applyNumberFormat="1" applyFont="1" applyBorder="1" applyAlignment="1">
      <alignment horizontal="center"/>
    </xf>
    <xf numFmtId="0" fontId="51" fillId="0" borderId="94" xfId="3" applyFont="1" applyBorder="1"/>
    <xf numFmtId="0" fontId="51" fillId="0" borderId="61" xfId="3" applyFont="1" applyBorder="1" applyAlignment="1">
      <alignment horizontal="center" vertical="center"/>
    </xf>
    <xf numFmtId="2" fontId="51" fillId="43" borderId="61" xfId="3" applyNumberFormat="1" applyFont="1" applyFill="1" applyBorder="1" applyAlignment="1">
      <alignment horizontal="center" vertical="center"/>
    </xf>
    <xf numFmtId="0" fontId="51" fillId="0" borderId="85" xfId="3" applyFont="1" applyBorder="1" applyAlignment="1">
      <alignment horizontal="center" vertical="center"/>
    </xf>
    <xf numFmtId="0" fontId="51" fillId="43" borderId="95" xfId="3" applyFont="1" applyFill="1" applyBorder="1" applyAlignment="1">
      <alignment horizontal="center"/>
    </xf>
    <xf numFmtId="2" fontId="51" fillId="0" borderId="61" xfId="3" applyNumberFormat="1" applyFont="1" applyBorder="1" applyAlignment="1">
      <alignment horizontal="center" vertical="center"/>
    </xf>
    <xf numFmtId="0" fontId="59" fillId="35" borderId="82" xfId="3" applyFont="1" applyFill="1" applyBorder="1" applyAlignment="1">
      <alignment horizontal="center"/>
    </xf>
    <xf numFmtId="2" fontId="59" fillId="35" borderId="84" xfId="3" applyNumberFormat="1" applyFont="1" applyFill="1" applyBorder="1" applyAlignment="1">
      <alignment horizontal="center"/>
    </xf>
    <xf numFmtId="2" fontId="59" fillId="35" borderId="61" xfId="3" applyNumberFormat="1" applyFont="1" applyFill="1" applyBorder="1" applyAlignment="1">
      <alignment horizontal="center"/>
    </xf>
    <xf numFmtId="2" fontId="59" fillId="35" borderId="85" xfId="3" applyNumberFormat="1" applyFont="1" applyFill="1" applyBorder="1" applyAlignment="1">
      <alignment horizontal="center"/>
    </xf>
    <xf numFmtId="0" fontId="51" fillId="0" borderId="0" xfId="3" quotePrefix="1" applyFont="1"/>
    <xf numFmtId="0" fontId="51" fillId="0" borderId="59" xfId="3" applyFont="1" applyBorder="1"/>
    <xf numFmtId="0" fontId="51" fillId="0" borderId="58" xfId="3" applyFont="1" applyBorder="1"/>
    <xf numFmtId="14" fontId="61" fillId="0" borderId="0" xfId="3" applyNumberFormat="1" applyFont="1"/>
    <xf numFmtId="0" fontId="51" fillId="35" borderId="0" xfId="3" applyFont="1" applyFill="1"/>
    <xf numFmtId="0" fontId="62" fillId="41" borderId="83" xfId="3" applyFont="1" applyFill="1" applyBorder="1" applyAlignment="1">
      <alignment horizontal="center"/>
    </xf>
    <xf numFmtId="0" fontId="63" fillId="44" borderId="97" xfId="3" applyFont="1" applyFill="1" applyBorder="1" applyAlignment="1">
      <alignment horizontal="center"/>
    </xf>
    <xf numFmtId="0" fontId="63" fillId="44" borderId="83" xfId="3" applyFont="1" applyFill="1" applyBorder="1" applyAlignment="1">
      <alignment horizontal="center"/>
    </xf>
    <xf numFmtId="0" fontId="62" fillId="0" borderId="0" xfId="3" applyFont="1" applyAlignment="1">
      <alignment horizontal="center"/>
    </xf>
    <xf numFmtId="0" fontId="62" fillId="41" borderId="61" xfId="3" applyFont="1" applyFill="1" applyBorder="1" applyAlignment="1">
      <alignment horizontal="center"/>
    </xf>
    <xf numFmtId="0" fontId="64" fillId="0" borderId="97" xfId="3" applyFont="1" applyBorder="1" applyAlignment="1">
      <alignment horizontal="center" vertical="center"/>
    </xf>
    <xf numFmtId="0" fontId="65" fillId="0" borderId="61" xfId="3" applyFont="1" applyBorder="1" applyAlignment="1">
      <alignment horizontal="center" vertical="center"/>
    </xf>
    <xf numFmtId="9" fontId="62" fillId="45" borderId="97" xfId="3" applyNumberFormat="1" applyFont="1" applyFill="1" applyBorder="1" applyAlignment="1">
      <alignment horizontal="center" vertical="center"/>
    </xf>
    <xf numFmtId="9" fontId="62" fillId="41" borderId="97" xfId="3" applyNumberFormat="1" applyFont="1" applyFill="1" applyBorder="1" applyAlignment="1">
      <alignment horizontal="center" vertical="center"/>
    </xf>
    <xf numFmtId="0" fontId="65" fillId="0" borderId="61" xfId="3" applyFont="1" applyBorder="1" applyAlignment="1">
      <alignment horizontal="center" vertical="center" wrapText="1"/>
    </xf>
    <xf numFmtId="0" fontId="67" fillId="45" borderId="97" xfId="3" applyFont="1" applyFill="1" applyBorder="1" applyAlignment="1">
      <alignment horizontal="left" vertical="center" wrapText="1"/>
    </xf>
    <xf numFmtId="0" fontId="68" fillId="41" borderId="97" xfId="3" applyFont="1" applyFill="1" applyBorder="1" applyAlignment="1">
      <alignment horizontal="center" vertical="center" wrapText="1"/>
    </xf>
    <xf numFmtId="0" fontId="67" fillId="45" borderId="97" xfId="3" applyFont="1" applyFill="1" applyBorder="1" applyAlignment="1">
      <alignment horizontal="center" vertical="center" wrapText="1"/>
    </xf>
    <xf numFmtId="0" fontId="62" fillId="0" borderId="61" xfId="3" applyFont="1" applyBorder="1" applyAlignment="1">
      <alignment horizontal="center"/>
    </xf>
    <xf numFmtId="0" fontId="65" fillId="45" borderId="61" xfId="3" applyFont="1" applyFill="1" applyBorder="1" applyAlignment="1">
      <alignment horizontal="center" vertical="center" wrapText="1"/>
    </xf>
    <xf numFmtId="0" fontId="64" fillId="41" borderId="61" xfId="3" applyFont="1" applyFill="1" applyBorder="1" applyAlignment="1">
      <alignment horizontal="center" vertical="center" wrapText="1"/>
    </xf>
    <xf numFmtId="0" fontId="62" fillId="0" borderId="61" xfId="3" applyFont="1" applyBorder="1" applyAlignment="1">
      <alignment horizontal="center" vertical="center" wrapText="1"/>
    </xf>
    <xf numFmtId="0" fontId="63" fillId="44" borderId="92" xfId="3" applyFont="1" applyFill="1" applyBorder="1" applyAlignment="1">
      <alignment horizontal="center"/>
    </xf>
    <xf numFmtId="0" fontId="63" fillId="44" borderId="61" xfId="3" applyFont="1" applyFill="1" applyBorder="1" applyAlignment="1">
      <alignment horizontal="center"/>
    </xf>
    <xf numFmtId="0" fontId="51" fillId="35" borderId="0" xfId="3" applyFont="1" applyFill="1" applyAlignment="1">
      <alignment vertical="center"/>
    </xf>
    <xf numFmtId="0" fontId="69" fillId="0" borderId="97" xfId="3" applyFont="1" applyBorder="1" applyAlignment="1">
      <alignment horizontal="center" vertical="center"/>
    </xf>
    <xf numFmtId="0" fontId="65" fillId="0" borderId="97" xfId="3" applyFont="1" applyBorder="1" applyAlignment="1">
      <alignment horizontal="center" vertical="center"/>
    </xf>
    <xf numFmtId="0" fontId="65" fillId="0" borderId="0" xfId="3" applyFont="1" applyAlignment="1">
      <alignment horizontal="left" vertical="center"/>
    </xf>
    <xf numFmtId="0" fontId="65" fillId="45" borderId="97" xfId="3" applyFont="1" applyFill="1" applyBorder="1" applyAlignment="1">
      <alignment horizontal="left" vertical="center" wrapText="1"/>
    </xf>
    <xf numFmtId="0" fontId="65" fillId="41" borderId="97" xfId="3" applyFont="1" applyFill="1" applyBorder="1" applyAlignment="1">
      <alignment horizontal="center" vertical="center" wrapText="1"/>
    </xf>
    <xf numFmtId="0" fontId="65" fillId="45" borderId="97" xfId="3" applyFont="1" applyFill="1" applyBorder="1" applyAlignment="1">
      <alignment horizontal="center" vertical="center" wrapText="1"/>
    </xf>
    <xf numFmtId="0" fontId="65" fillId="0" borderId="97" xfId="3" applyFont="1" applyBorder="1" applyAlignment="1">
      <alignment horizontal="center" vertical="center" wrapText="1"/>
    </xf>
    <xf numFmtId="0" fontId="51" fillId="35" borderId="0" xfId="3" applyFont="1" applyFill="1" applyAlignment="1">
      <alignment wrapText="1"/>
    </xf>
    <xf numFmtId="0" fontId="62" fillId="0" borderId="92" xfId="3" applyFont="1" applyBorder="1" applyAlignment="1">
      <alignment horizontal="center" vertical="center" wrapText="1"/>
    </xf>
    <xf numFmtId="0" fontId="62" fillId="0" borderId="0" xfId="3" applyFont="1" applyAlignment="1">
      <alignment horizontal="center" wrapText="1"/>
    </xf>
    <xf numFmtId="0" fontId="70" fillId="35" borderId="66" xfId="3" applyFont="1" applyFill="1" applyBorder="1" applyAlignment="1">
      <alignment horizontal="center" vertical="center"/>
    </xf>
    <xf numFmtId="164" fontId="70" fillId="35" borderId="66" xfId="3" applyNumberFormat="1" applyFont="1" applyFill="1" applyBorder="1" applyAlignment="1">
      <alignment horizontal="center" vertical="center"/>
    </xf>
    <xf numFmtId="2" fontId="70" fillId="35" borderId="82" xfId="3" applyNumberFormat="1" applyFont="1" applyFill="1" applyBorder="1" applyAlignment="1">
      <alignment horizontal="center" vertical="center"/>
    </xf>
    <xf numFmtId="2" fontId="70" fillId="35" borderId="61" xfId="3" applyNumberFormat="1" applyFont="1" applyFill="1" applyBorder="1" applyAlignment="1">
      <alignment horizontal="center" vertical="center"/>
    </xf>
    <xf numFmtId="0" fontId="70" fillId="35" borderId="92" xfId="3" applyFont="1" applyFill="1" applyBorder="1" applyAlignment="1">
      <alignment horizontal="center" vertical="center"/>
    </xf>
    <xf numFmtId="0" fontId="70" fillId="35" borderId="101" xfId="3" applyFont="1" applyFill="1" applyBorder="1" applyAlignment="1">
      <alignment horizontal="center" vertical="center"/>
    </xf>
    <xf numFmtId="0" fontId="70" fillId="35" borderId="83" xfId="3" applyFont="1" applyFill="1" applyBorder="1" applyAlignment="1">
      <alignment horizontal="center" vertical="center"/>
    </xf>
    <xf numFmtId="0" fontId="70" fillId="35" borderId="97" xfId="3" applyFont="1" applyFill="1" applyBorder="1" applyAlignment="1">
      <alignment horizontal="center" vertical="center"/>
    </xf>
    <xf numFmtId="0" fontId="70" fillId="35" borderId="63" xfId="3" applyFont="1" applyFill="1" applyBorder="1" applyAlignment="1">
      <alignment horizontal="center" vertical="center"/>
    </xf>
    <xf numFmtId="0" fontId="70" fillId="35" borderId="102" xfId="3" applyFont="1" applyFill="1" applyBorder="1" applyAlignment="1">
      <alignment horizontal="center" vertical="center"/>
    </xf>
    <xf numFmtId="0" fontId="70" fillId="35" borderId="65" xfId="3" applyFont="1" applyFill="1" applyBorder="1" applyAlignment="1">
      <alignment horizontal="center" vertical="center"/>
    </xf>
    <xf numFmtId="0" fontId="72" fillId="35" borderId="0" xfId="3" applyFont="1" applyFill="1" applyAlignment="1">
      <alignment horizontal="left" vertical="center"/>
    </xf>
    <xf numFmtId="0" fontId="51" fillId="35" borderId="61" xfId="3" applyFont="1" applyFill="1" applyBorder="1"/>
    <xf numFmtId="0" fontId="51" fillId="35" borderId="61" xfId="3" applyFont="1" applyFill="1" applyBorder="1" applyAlignment="1">
      <alignment horizontal="center" vertical="center"/>
    </xf>
    <xf numFmtId="0" fontId="72" fillId="35" borderId="0" xfId="3" applyFont="1" applyFill="1" applyAlignment="1">
      <alignment horizontal="center" vertical="center"/>
    </xf>
    <xf numFmtId="0" fontId="72" fillId="35" borderId="0" xfId="3" applyFont="1" applyFill="1"/>
    <xf numFmtId="0" fontId="72" fillId="35" borderId="0" xfId="3" applyFont="1" applyFill="1" applyAlignment="1">
      <alignment horizontal="right" vertical="center"/>
    </xf>
    <xf numFmtId="0" fontId="51" fillId="35" borderId="97" xfId="3" applyFont="1" applyFill="1" applyBorder="1"/>
    <xf numFmtId="0" fontId="51" fillId="35" borderId="101" xfId="3" applyFont="1" applyFill="1" applyBorder="1"/>
    <xf numFmtId="0" fontId="51" fillId="35" borderId="112" xfId="3" applyFont="1" applyFill="1" applyBorder="1"/>
    <xf numFmtId="0" fontId="51" fillId="35" borderId="98" xfId="3" applyFont="1" applyFill="1" applyBorder="1"/>
    <xf numFmtId="0" fontId="72" fillId="35" borderId="78" xfId="3" applyFont="1" applyFill="1" applyBorder="1" applyAlignment="1">
      <alignment horizontal="center" vertical="center"/>
    </xf>
    <xf numFmtId="2" fontId="72" fillId="35" borderId="78" xfId="3" applyNumberFormat="1" applyFont="1" applyFill="1" applyBorder="1" applyAlignment="1">
      <alignment horizontal="center" vertical="center"/>
    </xf>
    <xf numFmtId="0" fontId="81" fillId="35" borderId="0" xfId="3" applyFont="1" applyFill="1" applyAlignment="1">
      <alignment horizontal="center" vertical="center"/>
    </xf>
    <xf numFmtId="0" fontId="72" fillId="48" borderId="78" xfId="3" applyFont="1" applyFill="1" applyBorder="1" applyAlignment="1">
      <alignment horizontal="center" vertical="center"/>
    </xf>
    <xf numFmtId="16" fontId="51" fillId="35" borderId="98" xfId="3" applyNumberFormat="1" applyFont="1" applyFill="1" applyBorder="1"/>
    <xf numFmtId="0" fontId="51" fillId="35" borderId="113" xfId="3" applyFont="1" applyFill="1" applyBorder="1" applyAlignment="1">
      <alignment horizontal="center" vertical="center"/>
    </xf>
    <xf numFmtId="0" fontId="51" fillId="35" borderId="99" xfId="3" applyFont="1" applyFill="1" applyBorder="1"/>
    <xf numFmtId="2" fontId="80" fillId="35" borderId="78" xfId="3" applyNumberFormat="1" applyFont="1" applyFill="1" applyBorder="1" applyAlignment="1">
      <alignment horizontal="center" vertical="center"/>
    </xf>
    <xf numFmtId="2" fontId="72" fillId="48" borderId="78" xfId="3" applyNumberFormat="1" applyFont="1" applyFill="1" applyBorder="1" applyAlignment="1">
      <alignment horizontal="center" vertical="center"/>
    </xf>
    <xf numFmtId="9" fontId="72" fillId="48" borderId="78" xfId="3" applyNumberFormat="1" applyFont="1" applyFill="1" applyBorder="1" applyAlignment="1">
      <alignment horizontal="center" vertical="center"/>
    </xf>
    <xf numFmtId="0" fontId="85" fillId="0" borderId="0" xfId="3" applyFont="1" applyAlignment="1">
      <alignment horizontal="center"/>
    </xf>
    <xf numFmtId="0" fontId="85" fillId="0" borderId="0" xfId="3" applyFont="1" applyAlignment="1">
      <alignment horizontal="center" wrapText="1"/>
    </xf>
    <xf numFmtId="0" fontId="85" fillId="0" borderId="0" xfId="3" applyFont="1" applyAlignment="1">
      <alignment horizontal="center" vertical="center"/>
    </xf>
    <xf numFmtId="0" fontId="85" fillId="0" borderId="0" xfId="3" applyFont="1" applyAlignment="1">
      <alignment wrapText="1"/>
    </xf>
    <xf numFmtId="0" fontId="85" fillId="0" borderId="0" xfId="3" applyFont="1" applyAlignment="1">
      <alignment horizontal="center" vertical="center" wrapText="1"/>
    </xf>
    <xf numFmtId="0" fontId="86" fillId="0" borderId="0" xfId="3" applyFont="1" applyAlignment="1">
      <alignment horizontal="center" vertical="center"/>
    </xf>
    <xf numFmtId="0" fontId="85" fillId="48" borderId="0" xfId="3" applyFont="1" applyFill="1" applyAlignment="1">
      <alignment wrapText="1"/>
    </xf>
    <xf numFmtId="0" fontId="85" fillId="48" borderId="0" xfId="3" applyFont="1" applyFill="1" applyAlignment="1">
      <alignment horizontal="center" vertical="center" wrapText="1"/>
    </xf>
    <xf numFmtId="0" fontId="87" fillId="0" borderId="0" xfId="3" applyFont="1" applyAlignment="1">
      <alignment horizontal="right" wrapText="1"/>
    </xf>
    <xf numFmtId="0" fontId="85" fillId="0" borderId="118" xfId="3" applyFont="1" applyBorder="1" applyAlignment="1">
      <alignment horizontal="center" wrapText="1"/>
    </xf>
    <xf numFmtId="0" fontId="85" fillId="0" borderId="119" xfId="3" applyFont="1" applyBorder="1" applyAlignment="1">
      <alignment horizontal="center" vertical="center"/>
    </xf>
    <xf numFmtId="0" fontId="85" fillId="48" borderId="120" xfId="3" applyFont="1" applyFill="1" applyBorder="1" applyAlignment="1">
      <alignment vertical="center" wrapText="1"/>
    </xf>
    <xf numFmtId="166" fontId="85" fillId="50" borderId="121" xfId="3" applyNumberFormat="1" applyFont="1" applyFill="1" applyBorder="1" applyAlignment="1">
      <alignment horizontal="center" vertical="center"/>
    </xf>
    <xf numFmtId="0" fontId="87" fillId="50" borderId="119" xfId="3" applyFont="1" applyFill="1" applyBorder="1" applyAlignment="1">
      <alignment horizontal="center" vertical="center" wrapText="1"/>
    </xf>
    <xf numFmtId="0" fontId="87" fillId="50" borderId="122" xfId="3" applyFont="1" applyFill="1" applyBorder="1" applyAlignment="1">
      <alignment horizontal="center" vertical="center" wrapText="1"/>
    </xf>
    <xf numFmtId="0" fontId="85" fillId="0" borderId="119" xfId="3" applyFont="1" applyBorder="1" applyAlignment="1">
      <alignment horizontal="left" vertical="center"/>
    </xf>
    <xf numFmtId="0" fontId="85" fillId="0" borderId="123" xfId="3" applyFont="1" applyBorder="1" applyAlignment="1">
      <alignment horizontal="center" wrapText="1"/>
    </xf>
    <xf numFmtId="0" fontId="85" fillId="0" borderId="124" xfId="3" applyFont="1" applyBorder="1" applyAlignment="1">
      <alignment horizontal="center" vertical="center"/>
    </xf>
    <xf numFmtId="0" fontId="85" fillId="0" borderId="123" xfId="3" applyFont="1" applyBorder="1" applyAlignment="1">
      <alignment wrapText="1"/>
    </xf>
    <xf numFmtId="166" fontId="85" fillId="50" borderId="123" xfId="3" applyNumberFormat="1" applyFont="1" applyFill="1" applyBorder="1" applyAlignment="1">
      <alignment horizontal="center" vertical="center" wrapText="1"/>
    </xf>
    <xf numFmtId="0" fontId="85" fillId="0" borderId="124" xfId="3" applyFont="1" applyBorder="1" applyAlignment="1">
      <alignment horizontal="center" wrapText="1"/>
    </xf>
    <xf numFmtId="0" fontId="85" fillId="0" borderId="124" xfId="3" applyFont="1" applyBorder="1" applyAlignment="1">
      <alignment wrapText="1"/>
    </xf>
    <xf numFmtId="166" fontId="85" fillId="50" borderId="124" xfId="3" applyNumberFormat="1" applyFont="1" applyFill="1" applyBorder="1" applyAlignment="1">
      <alignment horizontal="center" vertical="center" wrapText="1"/>
    </xf>
    <xf numFmtId="0" fontId="89" fillId="0" borderId="124" xfId="3" applyFont="1" applyBorder="1" applyAlignment="1">
      <alignment horizontal="left"/>
    </xf>
    <xf numFmtId="0" fontId="85" fillId="48" borderId="124" xfId="3" applyFont="1" applyFill="1" applyBorder="1" applyAlignment="1">
      <alignment wrapText="1"/>
    </xf>
    <xf numFmtId="0" fontId="90" fillId="0" borderId="124" xfId="3" applyFont="1" applyBorder="1" applyAlignment="1">
      <alignment wrapText="1"/>
    </xf>
    <xf numFmtId="0" fontId="92" fillId="51" borderId="124" xfId="3" applyFont="1" applyFill="1" applyBorder="1"/>
    <xf numFmtId="0" fontId="86" fillId="0" borderId="0" xfId="3" applyFont="1" applyAlignment="1">
      <alignment horizontal="left" vertical="center"/>
    </xf>
    <xf numFmtId="0" fontId="92" fillId="51" borderId="124" xfId="3" applyFont="1" applyFill="1" applyBorder="1" applyAlignment="1">
      <alignment vertical="center" wrapText="1"/>
    </xf>
    <xf numFmtId="0" fontId="92" fillId="51" borderId="124" xfId="3" applyFont="1" applyFill="1" applyBorder="1" applyAlignment="1">
      <alignment wrapText="1"/>
    </xf>
    <xf numFmtId="0" fontId="87" fillId="0" borderId="119" xfId="3" applyFont="1" applyBorder="1" applyAlignment="1">
      <alignment horizontal="center" vertical="center" wrapText="1"/>
    </xf>
    <xf numFmtId="0" fontId="87" fillId="0" borderId="119" xfId="3" applyFont="1" applyBorder="1" applyAlignment="1">
      <alignment horizontal="center" vertical="center"/>
    </xf>
    <xf numFmtId="0" fontId="85" fillId="0" borderId="0" xfId="3" applyFont="1" applyAlignment="1">
      <alignment horizontal="left" vertical="center"/>
    </xf>
    <xf numFmtId="0" fontId="85" fillId="0" borderId="125" xfId="3" applyFont="1" applyBorder="1" applyAlignment="1">
      <alignment horizontal="center"/>
    </xf>
    <xf numFmtId="0" fontId="85" fillId="0" borderId="125" xfId="3" applyFont="1" applyBorder="1" applyAlignment="1">
      <alignment horizontal="center" vertical="center"/>
    </xf>
    <xf numFmtId="0" fontId="85" fillId="48" borderId="125" xfId="3" applyFont="1" applyFill="1" applyBorder="1" applyAlignment="1">
      <alignment wrapText="1"/>
    </xf>
    <xf numFmtId="166" fontId="85" fillId="50" borderId="125" xfId="3" applyNumberFormat="1" applyFont="1" applyFill="1" applyBorder="1" applyAlignment="1">
      <alignment horizontal="center" vertical="center" wrapText="1"/>
    </xf>
    <xf numFmtId="0" fontId="90" fillId="0" borderId="126" xfId="3" applyFont="1" applyBorder="1"/>
    <xf numFmtId="0" fontId="85" fillId="0" borderId="126" xfId="3" applyFont="1" applyBorder="1" applyAlignment="1">
      <alignment horizontal="center" vertical="center"/>
    </xf>
    <xf numFmtId="0" fontId="85" fillId="48" borderId="126" xfId="3" applyFont="1" applyFill="1" applyBorder="1" applyAlignment="1">
      <alignment wrapText="1"/>
    </xf>
    <xf numFmtId="166" fontId="85" fillId="50" borderId="126" xfId="3" applyNumberFormat="1" applyFont="1" applyFill="1" applyBorder="1" applyAlignment="1">
      <alignment horizontal="center" vertical="center" wrapText="1"/>
    </xf>
    <xf numFmtId="0" fontId="85" fillId="0" borderId="124" xfId="3" applyFont="1" applyBorder="1" applyAlignment="1">
      <alignment horizontal="center"/>
    </xf>
    <xf numFmtId="0" fontId="50" fillId="0" borderId="0" xfId="3" applyAlignment="1">
      <alignment horizontal="left" vertical="center"/>
    </xf>
    <xf numFmtId="0" fontId="50" fillId="0" borderId="0" xfId="3" applyAlignment="1">
      <alignment wrapText="1"/>
    </xf>
    <xf numFmtId="0" fontId="50" fillId="0" borderId="0" xfId="3" applyAlignment="1">
      <alignment horizontal="center" vertical="center" wrapText="1"/>
    </xf>
    <xf numFmtId="49" fontId="85" fillId="50" borderId="125" xfId="3" applyNumberFormat="1" applyFont="1" applyFill="1" applyBorder="1" applyAlignment="1">
      <alignment horizontal="center" vertical="center" wrapText="1"/>
    </xf>
    <xf numFmtId="49" fontId="85" fillId="50" borderId="124" xfId="3" applyNumberFormat="1" applyFont="1" applyFill="1" applyBorder="1" applyAlignment="1">
      <alignment horizontal="center" vertical="center" wrapText="1"/>
    </xf>
    <xf numFmtId="0" fontId="85" fillId="0" borderId="126" xfId="3" applyFont="1" applyBorder="1" applyAlignment="1">
      <alignment horizontal="center"/>
    </xf>
    <xf numFmtId="49" fontId="85" fillId="50" borderId="126" xfId="3" applyNumberFormat="1" applyFont="1" applyFill="1" applyBorder="1" applyAlignment="1">
      <alignment horizontal="center" vertical="center" wrapText="1"/>
    </xf>
    <xf numFmtId="0" fontId="85" fillId="0" borderId="124" xfId="3" applyFont="1" applyBorder="1" applyAlignment="1">
      <alignment horizontal="left" vertical="center"/>
    </xf>
    <xf numFmtId="0" fontId="85" fillId="0" borderId="127" xfId="3" applyFont="1" applyBorder="1" applyAlignment="1">
      <alignment horizontal="center"/>
    </xf>
    <xf numFmtId="0" fontId="89" fillId="0" borderId="124" xfId="3" applyFont="1" applyBorder="1" applyAlignment="1">
      <alignment horizontal="left" wrapText="1"/>
    </xf>
    <xf numFmtId="0" fontId="92" fillId="51" borderId="124" xfId="3" applyFont="1" applyFill="1" applyBorder="1" applyAlignment="1">
      <alignment vertical="center"/>
    </xf>
    <xf numFmtId="0" fontId="50" fillId="0" borderId="0" xfId="3" applyAlignment="1">
      <alignment vertical="center"/>
    </xf>
    <xf numFmtId="0" fontId="50" fillId="0" borderId="0" xfId="3" applyAlignment="1">
      <alignment horizontal="left" vertical="center" wrapText="1"/>
    </xf>
    <xf numFmtId="0" fontId="50" fillId="0" borderId="0" xfId="3" applyAlignment="1">
      <alignment vertical="center" wrapText="1"/>
    </xf>
    <xf numFmtId="0" fontId="85" fillId="0" borderId="0" xfId="3" applyFont="1" applyAlignment="1">
      <alignment vertical="center" wrapText="1"/>
    </xf>
    <xf numFmtId="0" fontId="85" fillId="0" borderId="119" xfId="3" applyFont="1" applyBorder="1" applyAlignment="1">
      <alignment horizontal="center" wrapText="1"/>
    </xf>
    <xf numFmtId="0" fontId="85" fillId="48" borderId="119" xfId="3" applyFont="1" applyFill="1" applyBorder="1" applyAlignment="1">
      <alignment vertical="center" wrapText="1"/>
    </xf>
    <xf numFmtId="49" fontId="85" fillId="50" borderId="119" xfId="3" applyNumberFormat="1" applyFont="1" applyFill="1" applyBorder="1" applyAlignment="1">
      <alignment horizontal="center" vertical="center" wrapText="1"/>
    </xf>
    <xf numFmtId="0" fontId="85" fillId="0" borderId="122" xfId="3" applyFont="1" applyBorder="1" applyAlignment="1">
      <alignment horizontal="left" vertical="center"/>
    </xf>
    <xf numFmtId="0" fontId="85" fillId="48" borderId="124" xfId="3" applyFont="1" applyFill="1" applyBorder="1" applyAlignment="1">
      <alignment vertical="center" wrapText="1"/>
    </xf>
    <xf numFmtId="0" fontId="87" fillId="48" borderId="124" xfId="3" applyFont="1" applyFill="1" applyBorder="1" applyAlignment="1">
      <alignment vertical="center" wrapText="1"/>
    </xf>
    <xf numFmtId="49" fontId="98" fillId="50" borderId="61" xfId="3" applyNumberFormat="1" applyFont="1" applyFill="1" applyBorder="1" applyAlignment="1">
      <alignment horizontal="center" vertical="center" wrapText="1"/>
    </xf>
    <xf numFmtId="0" fontId="50" fillId="0" borderId="127" xfId="3" applyBorder="1" applyAlignment="1">
      <alignment vertical="center"/>
    </xf>
    <xf numFmtId="0" fontId="90" fillId="0" borderId="124" xfId="3" applyFont="1" applyBorder="1" applyAlignment="1">
      <alignment vertical="center"/>
    </xf>
    <xf numFmtId="0" fontId="50" fillId="0" borderId="122" xfId="3" applyBorder="1" applyAlignment="1">
      <alignment vertical="center"/>
    </xf>
    <xf numFmtId="0" fontId="85" fillId="0" borderId="127" xfId="3" applyFont="1" applyBorder="1" applyAlignment="1">
      <alignment horizontal="center" vertical="center"/>
    </xf>
    <xf numFmtId="0" fontId="92" fillId="51" borderId="127" xfId="3" applyFont="1" applyFill="1" applyBorder="1" applyAlignment="1">
      <alignment vertical="center" wrapText="1"/>
    </xf>
    <xf numFmtId="0" fontId="87" fillId="50" borderId="121" xfId="3" applyFont="1" applyFill="1" applyBorder="1" applyAlignment="1">
      <alignment horizontal="center" vertical="center" wrapText="1"/>
    </xf>
    <xf numFmtId="0" fontId="99" fillId="51" borderId="125" xfId="3" applyFont="1" applyFill="1" applyBorder="1" applyAlignment="1">
      <alignment vertical="center"/>
    </xf>
    <xf numFmtId="49" fontId="98" fillId="50" borderId="82" xfId="3" applyNumberFormat="1" applyFont="1" applyFill="1" applyBorder="1" applyAlignment="1">
      <alignment horizontal="center" vertical="center" wrapText="1"/>
    </xf>
    <xf numFmtId="0" fontId="102" fillId="51" borderId="124" xfId="3" applyFont="1" applyFill="1" applyBorder="1" applyAlignment="1">
      <alignment vertical="center"/>
    </xf>
    <xf numFmtId="0" fontId="99" fillId="51" borderId="124" xfId="3" applyFont="1" applyFill="1" applyBorder="1" applyAlignment="1">
      <alignment vertical="center"/>
    </xf>
    <xf numFmtId="0" fontId="98" fillId="51" borderId="126" xfId="3" applyFont="1" applyFill="1" applyBorder="1" applyAlignment="1">
      <alignment vertical="center" wrapText="1"/>
    </xf>
    <xf numFmtId="0" fontId="27" fillId="0" borderId="0" xfId="4"/>
    <xf numFmtId="0" fontId="32" fillId="0" borderId="0" xfId="4" applyFont="1"/>
    <xf numFmtId="0" fontId="104" fillId="0" borderId="0" xfId="4" applyFont="1"/>
    <xf numFmtId="0" fontId="104" fillId="0" borderId="0" xfId="4" applyFont="1" applyAlignment="1">
      <alignment horizontal="left"/>
    </xf>
    <xf numFmtId="0" fontId="106" fillId="0" borderId="6" xfId="4" applyFont="1" applyBorder="1" applyAlignment="1">
      <alignment horizontal="right"/>
    </xf>
    <xf numFmtId="165" fontId="104" fillId="0" borderId="0" xfId="4" applyNumberFormat="1" applyFont="1"/>
    <xf numFmtId="0" fontId="106" fillId="0" borderId="0" xfId="4" applyFont="1" applyAlignment="1">
      <alignment horizontal="right"/>
    </xf>
    <xf numFmtId="0" fontId="107" fillId="0" borderId="0" xfId="4" applyFont="1"/>
    <xf numFmtId="0" fontId="108" fillId="0" borderId="0" xfId="4" applyFont="1"/>
    <xf numFmtId="0" fontId="106" fillId="0" borderId="0" xfId="4" applyFont="1" applyAlignment="1">
      <alignment horizontal="left"/>
    </xf>
    <xf numFmtId="0" fontId="110" fillId="0" borderId="0" xfId="4" applyFont="1"/>
    <xf numFmtId="0" fontId="104" fillId="52" borderId="15" xfId="4" applyFont="1" applyFill="1" applyBorder="1"/>
    <xf numFmtId="0" fontId="111" fillId="0" borderId="0" xfId="4" applyFont="1"/>
    <xf numFmtId="0" fontId="32" fillId="0" borderId="3" xfId="4" applyFont="1" applyBorder="1"/>
    <xf numFmtId="0" fontId="32" fillId="0" borderId="4" xfId="4" applyFont="1" applyBorder="1"/>
    <xf numFmtId="0" fontId="32" fillId="0" borderId="5" xfId="4" applyFont="1" applyBorder="1"/>
    <xf numFmtId="0" fontId="32" fillId="0" borderId="10" xfId="4" applyFont="1" applyBorder="1"/>
    <xf numFmtId="0" fontId="32" fillId="0" borderId="11" xfId="4" applyFont="1" applyBorder="1"/>
    <xf numFmtId="0" fontId="32" fillId="0" borderId="12" xfId="4" applyFont="1" applyBorder="1"/>
    <xf numFmtId="0" fontId="32" fillId="0" borderId="6" xfId="4" applyFont="1" applyBorder="1"/>
    <xf numFmtId="0" fontId="32" fillId="0" borderId="7" xfId="4" applyFont="1" applyBorder="1"/>
    <xf numFmtId="0" fontId="104" fillId="2" borderId="1" xfId="4" applyFont="1" applyFill="1" applyBorder="1"/>
    <xf numFmtId="164" fontId="104" fillId="2" borderId="1" xfId="4" applyNumberFormat="1" applyFont="1" applyFill="1" applyBorder="1"/>
    <xf numFmtId="164" fontId="32" fillId="2" borderId="15" xfId="4" applyNumberFormat="1" applyFont="1" applyFill="1" applyBorder="1"/>
    <xf numFmtId="0" fontId="6" fillId="0" borderId="27" xfId="2" applyFont="1" applyBorder="1" applyAlignment="1">
      <alignment horizontal="center"/>
    </xf>
    <xf numFmtId="0" fontId="6" fillId="0" borderId="77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75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71" xfId="2" applyFont="1" applyBorder="1" applyAlignment="1">
      <alignment horizontal="center"/>
    </xf>
    <xf numFmtId="49" fontId="0" fillId="53" borderId="0" xfId="5" applyFo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7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1" fontId="0" fillId="0" borderId="1" xfId="0" applyNumberFormat="1" applyBorder="1" applyAlignment="1">
      <alignment horizontal="center" vertical="center" wrapText="1" shrinkToFit="1"/>
    </xf>
    <xf numFmtId="4" fontId="0" fillId="0" borderId="1" xfId="0" applyNumberFormat="1" applyBorder="1" applyAlignment="1">
      <alignment horizontal="center" vertical="center"/>
    </xf>
    <xf numFmtId="49" fontId="112" fillId="53" borderId="0" xfId="5">
      <alignment horizontal="center" vertical="center" wrapText="1" shrinkToFit="1"/>
    </xf>
    <xf numFmtId="0" fontId="5" fillId="0" borderId="0" xfId="6"/>
    <xf numFmtId="0" fontId="5" fillId="0" borderId="0" xfId="6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6" fillId="7" borderId="1" xfId="6" applyFont="1" applyFill="1" applyBorder="1" applyAlignment="1">
      <alignment horizontal="center" vertical="center"/>
    </xf>
    <xf numFmtId="2" fontId="5" fillId="5" borderId="1" xfId="6" applyNumberFormat="1" applyFill="1" applyBorder="1" applyAlignment="1">
      <alignment horizontal="center" vertical="center"/>
    </xf>
    <xf numFmtId="2" fontId="5" fillId="0" borderId="1" xfId="6" applyNumberFormat="1" applyBorder="1" applyAlignment="1">
      <alignment horizontal="center" vertical="center"/>
    </xf>
    <xf numFmtId="0" fontId="5" fillId="8" borderId="128" xfId="6" applyFill="1" applyBorder="1" applyAlignment="1">
      <alignment horizontal="center"/>
    </xf>
    <xf numFmtId="0" fontId="114" fillId="0" borderId="21" xfId="6" applyFont="1" applyBorder="1" applyAlignment="1">
      <alignment horizontal="center" vertical="center"/>
    </xf>
    <xf numFmtId="0" fontId="114" fillId="0" borderId="20" xfId="6" applyFont="1" applyBorder="1" applyAlignment="1">
      <alignment horizontal="center" vertical="center"/>
    </xf>
    <xf numFmtId="0" fontId="114" fillId="0" borderId="8" xfId="6" applyFont="1" applyBorder="1" applyAlignment="1">
      <alignment horizontal="center" vertical="center"/>
    </xf>
    <xf numFmtId="0" fontId="114" fillId="8" borderId="37" xfId="6" applyFont="1" applyFill="1" applyBorder="1" applyAlignment="1">
      <alignment horizontal="center" vertical="center"/>
    </xf>
    <xf numFmtId="0" fontId="114" fillId="54" borderId="8" xfId="6" applyFont="1" applyFill="1" applyBorder="1" applyAlignment="1">
      <alignment horizontal="center" vertical="center"/>
    </xf>
    <xf numFmtId="0" fontId="114" fillId="8" borderId="19" xfId="6" applyFont="1" applyFill="1" applyBorder="1" applyAlignment="1">
      <alignment horizontal="center" vertical="center"/>
    </xf>
    <xf numFmtId="0" fontId="114" fillId="0" borderId="17" xfId="6" applyFont="1" applyBorder="1" applyAlignment="1">
      <alignment horizontal="center" vertical="center"/>
    </xf>
    <xf numFmtId="0" fontId="5" fillId="0" borderId="1" xfId="6" applyBorder="1" applyAlignment="1">
      <alignment horizontal="center" vertical="center"/>
    </xf>
    <xf numFmtId="0" fontId="114" fillId="55" borderId="40" xfId="6" applyFont="1" applyFill="1" applyBorder="1" applyAlignment="1">
      <alignment horizontal="center" vertical="center"/>
    </xf>
    <xf numFmtId="0" fontId="114" fillId="0" borderId="130" xfId="6" applyFont="1" applyBorder="1" applyAlignment="1">
      <alignment horizontal="center" vertical="center"/>
    </xf>
    <xf numFmtId="0" fontId="50" fillId="0" borderId="3" xfId="3" applyBorder="1"/>
    <xf numFmtId="0" fontId="50" fillId="0" borderId="4" xfId="3" applyBorder="1"/>
    <xf numFmtId="0" fontId="50" fillId="0" borderId="5" xfId="3" applyBorder="1"/>
    <xf numFmtId="0" fontId="121" fillId="0" borderId="6" xfId="3" applyFont="1" applyBorder="1"/>
    <xf numFmtId="0" fontId="16" fillId="0" borderId="0" xfId="0" applyFont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8" borderId="22" xfId="0" applyFont="1" applyFill="1" applyBorder="1" applyAlignment="1">
      <alignment horizontal="center" vertical="center"/>
    </xf>
    <xf numFmtId="1" fontId="16" fillId="0" borderId="22" xfId="0" applyNumberFormat="1" applyFont="1" applyBorder="1" applyAlignment="1">
      <alignment horizontal="center" vertical="center"/>
    </xf>
    <xf numFmtId="1" fontId="51" fillId="43" borderId="61" xfId="3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7" borderId="15" xfId="0" applyFill="1" applyBorder="1"/>
    <xf numFmtId="0" fontId="0" fillId="22" borderId="15" xfId="0" applyFill="1" applyBorder="1"/>
    <xf numFmtId="0" fontId="0" fillId="29" borderId="15" xfId="0" applyFill="1" applyBorder="1"/>
    <xf numFmtId="0" fontId="0" fillId="30" borderId="15" xfId="0" applyFill="1" applyBorder="1"/>
    <xf numFmtId="0" fontId="0" fillId="9" borderId="15" xfId="0" applyFill="1" applyBorder="1"/>
    <xf numFmtId="0" fontId="0" fillId="31" borderId="15" xfId="0" applyFill="1" applyBorder="1"/>
    <xf numFmtId="2" fontId="0" fillId="7" borderId="15" xfId="0" applyNumberFormat="1" applyFill="1" applyBorder="1"/>
    <xf numFmtId="2" fontId="0" fillId="22" borderId="15" xfId="0" applyNumberFormat="1" applyFill="1" applyBorder="1"/>
    <xf numFmtId="2" fontId="0" fillId="29" borderId="15" xfId="0" applyNumberFormat="1" applyFill="1" applyBorder="1"/>
    <xf numFmtId="2" fontId="0" fillId="30" borderId="15" xfId="0" applyNumberFormat="1" applyFill="1" applyBorder="1"/>
    <xf numFmtId="2" fontId="0" fillId="9" borderId="15" xfId="0" applyNumberFormat="1" applyFill="1" applyBorder="1"/>
    <xf numFmtId="2" fontId="0" fillId="31" borderId="15" xfId="0" applyNumberFormat="1" applyFill="1" applyBorder="1"/>
    <xf numFmtId="0" fontId="122" fillId="0" borderId="0" xfId="0" applyFont="1" applyAlignment="1">
      <alignment horizontal="right"/>
    </xf>
    <xf numFmtId="0" fontId="0" fillId="0" borderId="69" xfId="0" applyBorder="1" applyAlignment="1">
      <alignment horizontal="center"/>
    </xf>
    <xf numFmtId="0" fontId="122" fillId="0" borderId="69" xfId="0" applyFont="1" applyBorder="1" applyAlignment="1">
      <alignment horizontal="center"/>
    </xf>
    <xf numFmtId="0" fontId="0" fillId="56" borderId="1" xfId="0" applyFill="1" applyBorder="1"/>
    <xf numFmtId="2" fontId="0" fillId="0" borderId="0" xfId="0" applyNumberFormat="1" applyAlignment="1">
      <alignment horizontal="right"/>
    </xf>
    <xf numFmtId="0" fontId="0" fillId="57" borderId="1" xfId="0" applyFill="1" applyBorder="1"/>
    <xf numFmtId="0" fontId="0" fillId="58" borderId="1" xfId="0" applyFill="1" applyBorder="1"/>
    <xf numFmtId="0" fontId="0" fillId="26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0" borderId="0" xfId="0" applyAlignment="1">
      <alignment horizontal="left"/>
    </xf>
    <xf numFmtId="0" fontId="123" fillId="0" borderId="0" xfId="0" applyFont="1"/>
    <xf numFmtId="0" fontId="124" fillId="61" borderId="69" xfId="0" applyFont="1" applyFill="1" applyBorder="1" applyAlignment="1">
      <alignment horizontal="center" vertical="center"/>
    </xf>
    <xf numFmtId="0" fontId="125" fillId="0" borderId="0" xfId="0" applyFont="1" applyAlignment="1">
      <alignment horizontal="left" vertical="center"/>
    </xf>
    <xf numFmtId="0" fontId="124" fillId="0" borderId="0" xfId="0" applyFont="1" applyAlignment="1">
      <alignment horizontal="center" vertical="center"/>
    </xf>
    <xf numFmtId="0" fontId="124" fillId="8" borderId="69" xfId="0" applyFont="1" applyFill="1" applyBorder="1" applyAlignment="1">
      <alignment horizontal="center" vertical="center"/>
    </xf>
    <xf numFmtId="0" fontId="0" fillId="62" borderId="1" xfId="0" applyFill="1" applyBorder="1"/>
    <xf numFmtId="0" fontId="18" fillId="0" borderId="9" xfId="0" applyFont="1" applyBorder="1" applyAlignment="1">
      <alignment horizontal="right"/>
    </xf>
    <xf numFmtId="0" fontId="18" fillId="0" borderId="1" xfId="0" applyFont="1" applyBorder="1"/>
    <xf numFmtId="0" fontId="18" fillId="0" borderId="77" xfId="0" applyFont="1" applyBorder="1" applyAlignment="1">
      <alignment horizontal="right"/>
    </xf>
    <xf numFmtId="0" fontId="18" fillId="0" borderId="14" xfId="0" applyFont="1" applyBorder="1"/>
    <xf numFmtId="0" fontId="18" fillId="0" borderId="72" xfId="0" applyFont="1" applyBorder="1" applyAlignment="1">
      <alignment horizontal="center"/>
    </xf>
    <xf numFmtId="0" fontId="18" fillId="0" borderId="129" xfId="0" applyFont="1" applyBorder="1" applyAlignment="1">
      <alignment horizontal="center"/>
    </xf>
    <xf numFmtId="0" fontId="18" fillId="55" borderId="1" xfId="0" applyFont="1" applyFill="1" applyBorder="1"/>
    <xf numFmtId="0" fontId="0" fillId="54" borderId="0" xfId="0" applyFill="1"/>
    <xf numFmtId="0" fontId="0" fillId="54" borderId="0" xfId="0" applyFill="1" applyAlignment="1">
      <alignment horizontal="center" vertical="center"/>
    </xf>
    <xf numFmtId="0" fontId="22" fillId="54" borderId="0" xfId="0" applyFont="1" applyFill="1"/>
    <xf numFmtId="0" fontId="126" fillId="54" borderId="0" xfId="0" applyFont="1" applyFill="1"/>
    <xf numFmtId="0" fontId="0" fillId="63" borderId="2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21" xfId="0" applyBorder="1" applyAlignment="1">
      <alignment horizontal="right"/>
    </xf>
    <xf numFmtId="0" fontId="0" fillId="63" borderId="20" xfId="0" applyFill="1" applyBorder="1" applyAlignment="1">
      <alignment horizontal="center" vertical="center"/>
    </xf>
    <xf numFmtId="0" fontId="0" fillId="6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0" fillId="0" borderId="8" xfId="0" applyBorder="1"/>
    <xf numFmtId="0" fontId="0" fillId="8" borderId="20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54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0" borderId="17" xfId="0" applyBorder="1"/>
    <xf numFmtId="0" fontId="0" fillId="63" borderId="23" xfId="0" applyFill="1" applyBorder="1" applyAlignment="1">
      <alignment horizontal="center" vertical="center"/>
    </xf>
    <xf numFmtId="0" fontId="0" fillId="8" borderId="6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75" xfId="2" applyFont="1" applyBorder="1" applyAlignment="1">
      <alignment horizontal="center"/>
    </xf>
    <xf numFmtId="0" fontId="4" fillId="0" borderId="77" xfId="2" applyFont="1" applyBorder="1" applyAlignment="1">
      <alignment horizontal="center" vertical="center"/>
    </xf>
    <xf numFmtId="0" fontId="11" fillId="0" borderId="29" xfId="2" applyBorder="1" applyAlignment="1">
      <alignment horizontal="right"/>
    </xf>
    <xf numFmtId="2" fontId="0" fillId="33" borderId="15" xfId="0" applyNumberFormat="1" applyFill="1" applyBorder="1"/>
    <xf numFmtId="0" fontId="0" fillId="32" borderId="15" xfId="0" applyFill="1" applyBorder="1"/>
    <xf numFmtId="0" fontId="0" fillId="33" borderId="15" xfId="0" applyFill="1" applyBorder="1"/>
    <xf numFmtId="0" fontId="0" fillId="56" borderId="14" xfId="0" applyFill="1" applyBorder="1"/>
    <xf numFmtId="0" fontId="0" fillId="0" borderId="72" xfId="0" applyBorder="1" applyAlignment="1">
      <alignment horizontal="left"/>
    </xf>
    <xf numFmtId="0" fontId="0" fillId="0" borderId="74" xfId="0" applyBorder="1"/>
    <xf numFmtId="0" fontId="0" fillId="62" borderId="14" xfId="0" applyFill="1" applyBorder="1"/>
    <xf numFmtId="0" fontId="0" fillId="7" borderId="14" xfId="0" applyFill="1" applyBorder="1"/>
    <xf numFmtId="0" fontId="0" fillId="0" borderId="74" xfId="0" applyBorder="1" applyAlignment="1">
      <alignment wrapText="1"/>
    </xf>
    <xf numFmtId="0" fontId="22" fillId="0" borderId="69" xfId="0" applyFont="1" applyBorder="1" applyAlignment="1">
      <alignment vertical="center" wrapText="1"/>
    </xf>
    <xf numFmtId="0" fontId="0" fillId="0" borderId="69" xfId="0" applyBorder="1"/>
    <xf numFmtId="0" fontId="24" fillId="0" borderId="131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/>
    </xf>
    <xf numFmtId="0" fontId="3" fillId="0" borderId="71" xfId="2" applyFont="1" applyBorder="1" applyAlignment="1">
      <alignment horizontal="center"/>
    </xf>
    <xf numFmtId="2" fontId="11" fillId="0" borderId="54" xfId="2" applyNumberFormat="1" applyBorder="1" applyAlignment="1">
      <alignment horizontal="center"/>
    </xf>
    <xf numFmtId="0" fontId="4" fillId="0" borderId="27" xfId="2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0" fontId="3" fillId="0" borderId="28" xfId="2" applyFont="1" applyBorder="1" applyAlignment="1">
      <alignment horizontal="center"/>
    </xf>
    <xf numFmtId="0" fontId="3" fillId="0" borderId="29" xfId="2" applyFont="1" applyBorder="1" applyAlignment="1">
      <alignment horizontal="center"/>
    </xf>
    <xf numFmtId="2" fontId="11" fillId="0" borderId="26" xfId="2" applyNumberFormat="1" applyBorder="1" applyAlignment="1">
      <alignment horizontal="center"/>
    </xf>
    <xf numFmtId="0" fontId="11" fillId="0" borderId="29" xfId="2" applyBorder="1" applyAlignment="1">
      <alignment horizontal="center"/>
    </xf>
    <xf numFmtId="0" fontId="3" fillId="0" borderId="9" xfId="2" applyFont="1" applyBorder="1" applyAlignment="1">
      <alignment horizontal="center" vertical="center"/>
    </xf>
    <xf numFmtId="0" fontId="3" fillId="0" borderId="77" xfId="2" applyFont="1" applyBorder="1" applyAlignment="1">
      <alignment horizontal="center" vertical="center"/>
    </xf>
    <xf numFmtId="0" fontId="3" fillId="0" borderId="75" xfId="2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/>
    </xf>
    <xf numFmtId="0" fontId="5" fillId="55" borderId="1" xfId="6" applyFill="1" applyBorder="1" applyAlignment="1">
      <alignment horizontal="center" vertical="center"/>
    </xf>
    <xf numFmtId="0" fontId="18" fillId="0" borderId="70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49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0" xfId="0" applyAlignment="1">
      <alignment horizontal="center"/>
    </xf>
    <xf numFmtId="0" fontId="51" fillId="0" borderId="90" xfId="3" applyFont="1" applyBorder="1" applyAlignment="1">
      <alignment horizontal="center" vertical="center"/>
    </xf>
    <xf numFmtId="0" fontId="57" fillId="0" borderId="86" xfId="3" applyFont="1" applyBorder="1"/>
    <xf numFmtId="0" fontId="57" fillId="0" borderId="83" xfId="3" applyFont="1" applyBorder="1"/>
    <xf numFmtId="0" fontId="51" fillId="0" borderId="96" xfId="3" applyFont="1" applyBorder="1" applyAlignment="1">
      <alignment horizontal="center" vertical="center"/>
    </xf>
    <xf numFmtId="0" fontId="57" fillId="0" borderId="93" xfId="3" applyFont="1" applyBorder="1"/>
    <xf numFmtId="0" fontId="57" fillId="0" borderId="92" xfId="3" applyFont="1" applyBorder="1"/>
    <xf numFmtId="0" fontId="51" fillId="0" borderId="96" xfId="3" applyFont="1" applyBorder="1" applyAlignment="1">
      <alignment horizontal="center"/>
    </xf>
    <xf numFmtId="0" fontId="51" fillId="0" borderId="82" xfId="3" applyFont="1" applyBorder="1" applyAlignment="1">
      <alignment horizontal="center"/>
    </xf>
    <xf numFmtId="0" fontId="51" fillId="10" borderId="82" xfId="3" applyFont="1" applyFill="1" applyBorder="1" applyAlignment="1">
      <alignment horizontal="center"/>
    </xf>
    <xf numFmtId="0" fontId="28" fillId="19" borderId="15" xfId="0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109" fillId="0" borderId="0" xfId="4" applyFont="1" applyAlignment="1">
      <alignment horizontal="center" vertical="center"/>
    </xf>
    <xf numFmtId="0" fontId="104" fillId="52" borderId="15" xfId="4" applyFont="1" applyFill="1" applyBorder="1" applyAlignment="1">
      <alignment horizontal="center"/>
    </xf>
    <xf numFmtId="0" fontId="104" fillId="52" borderId="13" xfId="4" applyFont="1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117" fillId="0" borderId="42" xfId="6" applyFont="1" applyBorder="1" applyAlignment="1">
      <alignment horizontal="center" vertical="center"/>
    </xf>
    <xf numFmtId="0" fontId="117" fillId="0" borderId="129" xfId="6" applyFont="1" applyBorder="1" applyAlignment="1">
      <alignment horizontal="center" vertical="center"/>
    </xf>
    <xf numFmtId="0" fontId="66" fillId="46" borderId="90" xfId="3" applyFont="1" applyFill="1" applyBorder="1" applyAlignment="1">
      <alignment horizontal="center" vertical="center" wrapText="1"/>
    </xf>
    <xf numFmtId="0" fontId="72" fillId="35" borderId="0" xfId="3" applyFont="1" applyFill="1" applyAlignment="1">
      <alignment horizontal="center" vertical="center"/>
    </xf>
    <xf numFmtId="0" fontId="57" fillId="0" borderId="0" xfId="3" applyFont="1"/>
    <xf numFmtId="0" fontId="62" fillId="47" borderId="82" xfId="3" applyFont="1" applyFill="1" applyBorder="1" applyAlignment="1">
      <alignment horizontal="center" vertical="center" wrapText="1"/>
    </xf>
    <xf numFmtId="9" fontId="72" fillId="35" borderId="111" xfId="3" applyNumberFormat="1" applyFont="1" applyFill="1" applyBorder="1" applyAlignment="1">
      <alignment horizontal="center" vertical="center"/>
    </xf>
    <xf numFmtId="0" fontId="57" fillId="0" borderId="111" xfId="3" applyFont="1" applyBorder="1"/>
    <xf numFmtId="0" fontId="57" fillId="0" borderId="110" xfId="3" applyFont="1" applyBorder="1"/>
    <xf numFmtId="165" fontId="72" fillId="35" borderId="0" xfId="3" applyNumberFormat="1" applyFont="1" applyFill="1" applyAlignment="1">
      <alignment horizontal="center" vertical="center"/>
    </xf>
    <xf numFmtId="0" fontId="72" fillId="49" borderId="109" xfId="3" applyFont="1" applyFill="1" applyBorder="1" applyAlignment="1">
      <alignment horizontal="center" vertical="center"/>
    </xf>
    <xf numFmtId="0" fontId="57" fillId="0" borderId="108" xfId="3" applyFont="1" applyBorder="1"/>
    <xf numFmtId="0" fontId="57" fillId="0" borderId="107" xfId="3" applyFont="1" applyBorder="1"/>
    <xf numFmtId="0" fontId="72" fillId="35" borderId="0" xfId="3" applyFont="1" applyFill="1" applyAlignment="1">
      <alignment horizontal="right" vertical="center"/>
    </xf>
    <xf numFmtId="0" fontId="62" fillId="47" borderId="100" xfId="3" applyFont="1" applyFill="1" applyBorder="1" applyAlignment="1">
      <alignment horizontal="center" vertical="center" wrapText="1"/>
    </xf>
    <xf numFmtId="0" fontId="57" fillId="0" borderId="100" xfId="3" applyFont="1" applyBorder="1"/>
    <xf numFmtId="0" fontId="66" fillId="46" borderId="99" xfId="3" applyFont="1" applyFill="1" applyBorder="1" applyAlignment="1">
      <alignment horizontal="center" vertical="center" wrapText="1"/>
    </xf>
    <xf numFmtId="0" fontId="57" fillId="0" borderId="98" xfId="3" applyFont="1" applyBorder="1"/>
    <xf numFmtId="0" fontId="72" fillId="49" borderId="109" xfId="3" applyFont="1" applyFill="1" applyBorder="1" applyAlignment="1">
      <alignment horizontal="center"/>
    </xf>
    <xf numFmtId="0" fontId="72" fillId="48" borderId="109" xfId="3" applyFont="1" applyFill="1" applyBorder="1" applyAlignment="1">
      <alignment horizontal="center"/>
    </xf>
    <xf numFmtId="165" fontId="73" fillId="35" borderId="109" xfId="3" applyNumberFormat="1" applyFont="1" applyFill="1" applyBorder="1" applyAlignment="1">
      <alignment horizontal="center" vertical="center"/>
    </xf>
    <xf numFmtId="0" fontId="70" fillId="35" borderId="103" xfId="3" applyFont="1" applyFill="1" applyBorder="1" applyAlignment="1">
      <alignment horizontal="center" vertical="center" wrapText="1"/>
    </xf>
    <xf numFmtId="0" fontId="57" fillId="0" borderId="102" xfId="3" applyFont="1" applyBorder="1"/>
    <xf numFmtId="0" fontId="72" fillId="48" borderId="109" xfId="3" applyFont="1" applyFill="1" applyBorder="1" applyAlignment="1">
      <alignment horizontal="center" vertical="center"/>
    </xf>
    <xf numFmtId="164" fontId="72" fillId="35" borderId="0" xfId="3" applyNumberFormat="1" applyFont="1" applyFill="1" applyAlignment="1">
      <alignment horizontal="center" vertical="center"/>
    </xf>
    <xf numFmtId="0" fontId="70" fillId="35" borderId="106" xfId="3" applyFont="1" applyFill="1" applyBorder="1" applyAlignment="1">
      <alignment horizontal="center"/>
    </xf>
    <xf numFmtId="0" fontId="57" fillId="0" borderId="105" xfId="3" applyFont="1" applyBorder="1"/>
    <xf numFmtId="0" fontId="57" fillId="0" borderId="104" xfId="3" applyFont="1" applyBorder="1"/>
    <xf numFmtId="0" fontId="72" fillId="35" borderId="111" xfId="3" applyFont="1" applyFill="1" applyBorder="1" applyAlignment="1">
      <alignment horizontal="center" vertical="center"/>
    </xf>
    <xf numFmtId="0" fontId="28" fillId="19" borderId="13" xfId="0" applyFont="1" applyFill="1" applyBorder="1" applyAlignment="1">
      <alignment horizontal="center" vertical="center" wrapText="1"/>
    </xf>
    <xf numFmtId="0" fontId="0" fillId="21" borderId="71" xfId="0" applyFill="1" applyBorder="1" applyAlignment="1">
      <alignment horizontal="center" wrapText="1"/>
    </xf>
    <xf numFmtId="0" fontId="0" fillId="21" borderId="75" xfId="0" applyFill="1" applyBorder="1" applyAlignment="1">
      <alignment horizontal="center" wrapText="1"/>
    </xf>
    <xf numFmtId="0" fontId="0" fillId="21" borderId="27" xfId="0" applyFill="1" applyBorder="1" applyAlignment="1">
      <alignment horizontal="center" vertical="center" wrapText="1"/>
    </xf>
    <xf numFmtId="0" fontId="0" fillId="21" borderId="29" xfId="0" applyFill="1" applyBorder="1" applyAlignment="1">
      <alignment horizontal="center" vertical="center" wrapText="1"/>
    </xf>
    <xf numFmtId="0" fontId="0" fillId="21" borderId="72" xfId="0" applyFill="1" applyBorder="1" applyAlignment="1">
      <alignment horizontal="center" vertical="center"/>
    </xf>
    <xf numFmtId="0" fontId="0" fillId="21" borderId="73" xfId="0" applyFill="1" applyBorder="1" applyAlignment="1">
      <alignment horizontal="center" vertical="center"/>
    </xf>
    <xf numFmtId="0" fontId="0" fillId="21" borderId="74" xfId="0" applyFill="1" applyBorder="1" applyAlignment="1">
      <alignment horizontal="center" vertical="center"/>
    </xf>
    <xf numFmtId="10" fontId="11" fillId="0" borderId="25" xfId="2" applyNumberFormat="1" applyBorder="1" applyAlignment="1">
      <alignment horizontal="center" vertical="center" textRotation="90"/>
    </xf>
    <xf numFmtId="10" fontId="11" fillId="0" borderId="46" xfId="2" applyNumberFormat="1" applyBorder="1" applyAlignment="1">
      <alignment horizontal="center" vertical="center" textRotation="90"/>
    </xf>
    <xf numFmtId="10" fontId="11" fillId="0" borderId="26" xfId="2" applyNumberFormat="1" applyBorder="1" applyAlignment="1">
      <alignment horizontal="center" vertical="center" textRotation="90"/>
    </xf>
    <xf numFmtId="0" fontId="48" fillId="9" borderId="0" xfId="2" applyFont="1" applyFill="1" applyAlignment="1">
      <alignment horizontal="center" wrapText="1"/>
    </xf>
    <xf numFmtId="0" fontId="48" fillId="9" borderId="0" xfId="2" applyFont="1" applyFill="1" applyAlignment="1">
      <alignment horizontal="center"/>
    </xf>
    <xf numFmtId="0" fontId="9" fillId="0" borderId="11" xfId="2" applyFont="1" applyBorder="1" applyAlignment="1">
      <alignment horizontal="center"/>
    </xf>
    <xf numFmtId="0" fontId="11" fillId="0" borderId="11" xfId="2" applyBorder="1" applyAlignment="1">
      <alignment horizontal="center"/>
    </xf>
    <xf numFmtId="0" fontId="3" fillId="0" borderId="11" xfId="2" applyFont="1" applyBorder="1" applyAlignment="1">
      <alignment horizontal="center"/>
    </xf>
    <xf numFmtId="0" fontId="0" fillId="54" borderId="16" xfId="0" applyFill="1" applyBorder="1" applyAlignment="1">
      <alignment horizontal="center" vertical="center"/>
    </xf>
    <xf numFmtId="0" fontId="0" fillId="54" borderId="24" xfId="0" applyFill="1" applyBorder="1" applyAlignment="1">
      <alignment horizontal="center" vertical="center"/>
    </xf>
    <xf numFmtId="0" fontId="0" fillId="54" borderId="14" xfId="0" applyFill="1" applyBorder="1" applyAlignment="1">
      <alignment horizontal="center" vertical="center"/>
    </xf>
    <xf numFmtId="0" fontId="126" fillId="0" borderId="1" xfId="0" applyFont="1" applyBorder="1" applyAlignment="1">
      <alignment horizontal="left"/>
    </xf>
    <xf numFmtId="0" fontId="127" fillId="0" borderId="15" xfId="0" applyFont="1" applyBorder="1" applyAlignment="1">
      <alignment horizontal="right" vertical="center"/>
    </xf>
    <xf numFmtId="0" fontId="127" fillId="0" borderId="2" xfId="0" applyFont="1" applyBorder="1" applyAlignment="1">
      <alignment horizontal="right" vertical="center"/>
    </xf>
    <xf numFmtId="0" fontId="127" fillId="0" borderId="53" xfId="0" applyFont="1" applyBorder="1" applyAlignment="1">
      <alignment horizontal="right" vertical="center"/>
    </xf>
    <xf numFmtId="0" fontId="0" fillId="0" borderId="73" xfId="0" applyBorder="1" applyAlignment="1">
      <alignment horizontal="center"/>
    </xf>
    <xf numFmtId="0" fontId="128" fillId="0" borderId="15" xfId="0" applyFont="1" applyBorder="1" applyAlignment="1">
      <alignment horizontal="right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53" xfId="0" applyNumberFormat="1" applyBorder="1" applyAlignment="1">
      <alignment horizontal="center" vertical="center"/>
    </xf>
    <xf numFmtId="0" fontId="83" fillId="35" borderId="109" xfId="3" applyFont="1" applyFill="1" applyBorder="1" applyAlignment="1">
      <alignment horizontal="center"/>
    </xf>
    <xf numFmtId="2" fontId="83" fillId="35" borderId="109" xfId="3" applyNumberFormat="1" applyFont="1" applyFill="1" applyBorder="1" applyAlignment="1">
      <alignment horizontal="center" vertical="center"/>
    </xf>
    <xf numFmtId="0" fontId="82" fillId="35" borderId="117" xfId="3" applyFont="1" applyFill="1" applyBorder="1" applyAlignment="1">
      <alignment horizontal="center" vertical="center" wrapText="1"/>
    </xf>
    <xf numFmtId="0" fontId="57" fillId="0" borderId="116" xfId="3" applyFont="1" applyBorder="1"/>
    <xf numFmtId="0" fontId="57" fillId="0" borderId="115" xfId="3" applyFont="1" applyBorder="1"/>
    <xf numFmtId="0" fontId="57" fillId="0" borderId="114" xfId="3" applyFont="1" applyBorder="1"/>
    <xf numFmtId="2" fontId="82" fillId="35" borderId="117" xfId="3" applyNumberFormat="1" applyFont="1" applyFill="1" applyBorder="1" applyAlignment="1">
      <alignment horizontal="center" vertical="center"/>
    </xf>
    <xf numFmtId="2" fontId="80" fillId="35" borderId="109" xfId="3" applyNumberFormat="1" applyFont="1" applyFill="1" applyBorder="1" applyAlignment="1">
      <alignment horizontal="center" vertical="center"/>
    </xf>
    <xf numFmtId="0" fontId="72" fillId="35" borderId="109" xfId="3" applyFont="1" applyFill="1" applyBorder="1" applyAlignment="1">
      <alignment horizontal="center" vertical="center"/>
    </xf>
    <xf numFmtId="0" fontId="72" fillId="35" borderId="109" xfId="3" applyFont="1" applyFill="1" applyBorder="1" applyAlignment="1">
      <alignment horizontal="center"/>
    </xf>
    <xf numFmtId="0" fontId="72" fillId="35" borderId="115" xfId="3" applyFont="1" applyFill="1" applyBorder="1" applyAlignment="1">
      <alignment horizontal="center" vertical="center"/>
    </xf>
    <xf numFmtId="0" fontId="84" fillId="35" borderId="117" xfId="3" applyFont="1" applyFill="1" applyBorder="1" applyAlignment="1">
      <alignment horizontal="center" vertical="center" wrapText="1"/>
    </xf>
    <xf numFmtId="9" fontId="83" fillId="48" borderId="109" xfId="3" applyNumberFormat="1" applyFont="1" applyFill="1" applyBorder="1" applyAlignment="1">
      <alignment horizontal="center" vertical="center"/>
    </xf>
    <xf numFmtId="0" fontId="72" fillId="49" borderId="117" xfId="3" applyFont="1" applyFill="1" applyBorder="1" applyAlignment="1">
      <alignment horizontal="center" vertical="center" wrapText="1"/>
    </xf>
    <xf numFmtId="2" fontId="73" fillId="35" borderId="117" xfId="3" applyNumberFormat="1" applyFont="1" applyFill="1" applyBorder="1" applyAlignment="1">
      <alignment horizontal="center" vertical="center"/>
    </xf>
    <xf numFmtId="0" fontId="73" fillId="35" borderId="117" xfId="3" applyFont="1" applyFill="1" applyBorder="1" applyAlignment="1">
      <alignment horizontal="center" vertical="center"/>
    </xf>
    <xf numFmtId="0" fontId="86" fillId="0" borderId="0" xfId="3" applyFont="1" applyAlignment="1">
      <alignment horizontal="center" vertical="center"/>
    </xf>
    <xf numFmtId="0" fontId="50" fillId="0" borderId="0" xfId="3"/>
    <xf numFmtId="0" fontId="48" fillId="9" borderId="0" xfId="2" applyFont="1" applyFill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</cellXfs>
  <cellStyles count="15">
    <cellStyle name="Гиперссылка" xfId="1" builtinId="8"/>
    <cellStyle name="Обычный" xfId="0" builtinId="0"/>
    <cellStyle name="Обычный 2" xfId="2" xr:uid="{00000000-0005-0000-0000-000002000000}"/>
    <cellStyle name="Обычный 2 2" xfId="11" xr:uid="{E30008F9-4C81-49C7-9F9E-648DD9EC353A}"/>
    <cellStyle name="Обычный 2 3" xfId="7" xr:uid="{8C0EEE90-6200-47D4-8143-0387F18C2688}"/>
    <cellStyle name="Обычный 3" xfId="3" xr:uid="{00000000-0005-0000-0000-000003000000}"/>
    <cellStyle name="Обычный 3 2" xfId="12" xr:uid="{3ACD84DA-020E-4025-84C4-CA7873404D6B}"/>
    <cellStyle name="Обычный 3 3" xfId="8" xr:uid="{914F8492-3B23-4B02-ABE1-F71FF74E7638}"/>
    <cellStyle name="Обычный 4" xfId="4" xr:uid="{00000000-0005-0000-0000-000004000000}"/>
    <cellStyle name="Обычный 5" xfId="6" xr:uid="{00000000-0005-0000-0000-000005000000}"/>
    <cellStyle name="Обычный 5 2" xfId="14" xr:uid="{F976AEEA-FF79-43A9-B197-F8D010AEF3D7}"/>
    <cellStyle name="Обычный 5 3" xfId="10" xr:uid="{F08F59E8-3290-4C8B-958A-2AC7F7961C73}"/>
    <cellStyle name="Раздел" xfId="5" xr:uid="{00000000-0005-0000-0000-000006000000}"/>
    <cellStyle name="Раздел 2" xfId="13" xr:uid="{6FD12C68-322E-433F-9D58-081796670490}"/>
    <cellStyle name="Раздел 3" xfId="9" xr:uid="{8D825044-0FF7-48A3-8D19-1B954A2FE320}"/>
  </cellStyles>
  <dxfs count="16">
    <dxf>
      <font>
        <b/>
        <u/>
        <color rgb="FF3C78D8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u/>
        <color rgb="FF3C78D8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u/>
        <color rgb="FF3C78D8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u/>
        <color rgb="FF3C78D8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99FF"/>
      <color rgb="FF6699FF"/>
      <color rgb="FFFFCCFF"/>
      <color rgb="FFFFFFFF"/>
      <color rgb="FF66FFFF"/>
      <color rgb="FF0066FF"/>
      <color rgb="FF00FF00"/>
      <color rgb="FFFF5050"/>
      <color rgb="FFFF8181"/>
      <color rgb="FF5D9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раскрепленная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0.12888888888888889</c:v>
              </c:pt>
              <c:pt idx="2">
                <c:v>0.24888888888888888</c:v>
              </c:pt>
              <c:pt idx="3">
                <c:v>0.36</c:v>
              </c:pt>
              <c:pt idx="4">
                <c:v>0.46222222222222226</c:v>
              </c:pt>
              <c:pt idx="5">
                <c:v>0.55555555555555558</c:v>
              </c:pt>
              <c:pt idx="6">
                <c:v>0.64</c:v>
              </c:pt>
              <c:pt idx="7">
                <c:v>0.7155555555555555</c:v>
              </c:pt>
              <c:pt idx="8">
                <c:v>0.78222222222222226</c:v>
              </c:pt>
              <c:pt idx="9">
                <c:v>0.84</c:v>
              </c:pt>
              <c:pt idx="10">
                <c:v>0.88888888888888895</c:v>
              </c:pt>
              <c:pt idx="11">
                <c:v>0.92888888888888888</c:v>
              </c:pt>
              <c:pt idx="12">
                <c:v>0.96000000000000008</c:v>
              </c:pt>
              <c:pt idx="13">
                <c:v>0.98222222222222222</c:v>
              </c:pt>
              <c:pt idx="14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42A-40C4-8F3B-40C23DE70457}"/>
            </c:ext>
          </c:extLst>
        </c:ser>
        <c:ser>
          <c:idx val="1"/>
          <c:order val="1"/>
          <c:tx>
            <c:v>консольная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0.24888888888888888</c:v>
              </c:pt>
              <c:pt idx="2">
                <c:v>0.46222222222222226</c:v>
              </c:pt>
              <c:pt idx="3">
                <c:v>0.64</c:v>
              </c:pt>
              <c:pt idx="4">
                <c:v>0.78222222222222226</c:v>
              </c:pt>
              <c:pt idx="5">
                <c:v>0.88888888888888895</c:v>
              </c:pt>
              <c:pt idx="6">
                <c:v>0.96000000000000008</c:v>
              </c:pt>
              <c:pt idx="7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42A-40C4-8F3B-40C23DE70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710528"/>
        <c:axId val="1491736736"/>
      </c:scatterChart>
      <c:valAx>
        <c:axId val="14917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36736"/>
        <c:crosses val="autoZero"/>
        <c:crossBetween val="midCat"/>
        <c:majorUnit val="0.2"/>
      </c:valAx>
      <c:valAx>
        <c:axId val="149173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Дополнительный коэффициент</a:t>
                </a:r>
                <a:r>
                  <a:rPr lang="ru-RU" baseline="0"/>
                  <a:t> продольного изгиба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1052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раскрепленная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0.12888888888888889</c:v>
              </c:pt>
              <c:pt idx="2">
                <c:v>0.24888888888888888</c:v>
              </c:pt>
              <c:pt idx="3">
                <c:v>0.36</c:v>
              </c:pt>
              <c:pt idx="4">
                <c:v>0.46222222222222226</c:v>
              </c:pt>
              <c:pt idx="5">
                <c:v>0.55555555555555558</c:v>
              </c:pt>
              <c:pt idx="6">
                <c:v>0.64</c:v>
              </c:pt>
              <c:pt idx="7">
                <c:v>0.7155555555555555</c:v>
              </c:pt>
              <c:pt idx="8">
                <c:v>0.78222222222222226</c:v>
              </c:pt>
              <c:pt idx="9">
                <c:v>0.84</c:v>
              </c:pt>
              <c:pt idx="10">
                <c:v>0.88888888888888895</c:v>
              </c:pt>
              <c:pt idx="11">
                <c:v>0.92888888888888888</c:v>
              </c:pt>
              <c:pt idx="12">
                <c:v>0.96000000000000008</c:v>
              </c:pt>
              <c:pt idx="13">
                <c:v>0.98222222222222222</c:v>
              </c:pt>
              <c:pt idx="14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D8-4885-A036-2F6023032053}"/>
            </c:ext>
          </c:extLst>
        </c:ser>
        <c:ser>
          <c:idx val="1"/>
          <c:order val="1"/>
          <c:tx>
            <c:v>консольная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0.24888888888888888</c:v>
              </c:pt>
              <c:pt idx="2">
                <c:v>0.46222222222222226</c:v>
              </c:pt>
              <c:pt idx="3">
                <c:v>0.64</c:v>
              </c:pt>
              <c:pt idx="4">
                <c:v>0.78222222222222226</c:v>
              </c:pt>
              <c:pt idx="5">
                <c:v>0.88888888888888895</c:v>
              </c:pt>
              <c:pt idx="6">
                <c:v>0.96000000000000008</c:v>
              </c:pt>
              <c:pt idx="7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D8-4885-A036-2F602303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710528"/>
        <c:axId val="1491736736"/>
      </c:scatterChart>
      <c:valAx>
        <c:axId val="14917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36736"/>
        <c:crosses val="autoZero"/>
        <c:crossBetween val="midCat"/>
        <c:majorUnit val="0.2"/>
      </c:valAx>
      <c:valAx>
        <c:axId val="149173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Дополнительный коэффициент</a:t>
                </a:r>
                <a:r>
                  <a:rPr lang="ru-RU" baseline="0"/>
                  <a:t> продольного изгиба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1052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раскрепленная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0.12888888888888889</c:v>
              </c:pt>
              <c:pt idx="2">
                <c:v>0.24888888888888888</c:v>
              </c:pt>
              <c:pt idx="3">
                <c:v>0.36</c:v>
              </c:pt>
              <c:pt idx="4">
                <c:v>0.46222222222222226</c:v>
              </c:pt>
              <c:pt idx="5">
                <c:v>0.55555555555555558</c:v>
              </c:pt>
              <c:pt idx="6">
                <c:v>0.64</c:v>
              </c:pt>
              <c:pt idx="7">
                <c:v>0.7155555555555555</c:v>
              </c:pt>
              <c:pt idx="8">
                <c:v>0.78222222222222226</c:v>
              </c:pt>
              <c:pt idx="9">
                <c:v>0.84</c:v>
              </c:pt>
              <c:pt idx="10">
                <c:v>0.88888888888888895</c:v>
              </c:pt>
              <c:pt idx="11">
                <c:v>0.92888888888888888</c:v>
              </c:pt>
              <c:pt idx="12">
                <c:v>0.96000000000000008</c:v>
              </c:pt>
              <c:pt idx="13">
                <c:v>0.98222222222222222</c:v>
              </c:pt>
              <c:pt idx="14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0D6-47CC-B179-7DCB87A01A2E}"/>
            </c:ext>
          </c:extLst>
        </c:ser>
        <c:ser>
          <c:idx val="1"/>
          <c:order val="1"/>
          <c:tx>
            <c:v>консольная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0.24888888888888888</c:v>
              </c:pt>
              <c:pt idx="2">
                <c:v>0.46222222222222226</c:v>
              </c:pt>
              <c:pt idx="3">
                <c:v>0.64</c:v>
              </c:pt>
              <c:pt idx="4">
                <c:v>0.78222222222222226</c:v>
              </c:pt>
              <c:pt idx="5">
                <c:v>0.88888888888888895</c:v>
              </c:pt>
              <c:pt idx="6">
                <c:v>0.96000000000000008</c:v>
              </c:pt>
              <c:pt idx="7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0D6-47CC-B179-7DCB87A0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710528"/>
        <c:axId val="1491736736"/>
      </c:scatterChart>
      <c:valAx>
        <c:axId val="14917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36736"/>
        <c:crosses val="autoZero"/>
        <c:crossBetween val="midCat"/>
        <c:majorUnit val="0.2"/>
      </c:valAx>
      <c:valAx>
        <c:axId val="149173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Дополнительный коэффициент</a:t>
                </a:r>
                <a:r>
                  <a:rPr lang="ru-RU" baseline="0"/>
                  <a:t> продольного изгиба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1052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раскрепленная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0.12888888888888889</c:v>
              </c:pt>
              <c:pt idx="2">
                <c:v>0.24888888888888888</c:v>
              </c:pt>
              <c:pt idx="3">
                <c:v>0.36</c:v>
              </c:pt>
              <c:pt idx="4">
                <c:v>0.46222222222222226</c:v>
              </c:pt>
              <c:pt idx="5">
                <c:v>0.55555555555555558</c:v>
              </c:pt>
              <c:pt idx="6">
                <c:v>0.64</c:v>
              </c:pt>
              <c:pt idx="7">
                <c:v>0.7155555555555555</c:v>
              </c:pt>
              <c:pt idx="8">
                <c:v>0.78222222222222226</c:v>
              </c:pt>
              <c:pt idx="9">
                <c:v>0.84</c:v>
              </c:pt>
              <c:pt idx="10">
                <c:v>0.88888888888888895</c:v>
              </c:pt>
              <c:pt idx="11">
                <c:v>0.92888888888888888</c:v>
              </c:pt>
              <c:pt idx="12">
                <c:v>0.96000000000000008</c:v>
              </c:pt>
              <c:pt idx="13">
                <c:v>0.98222222222222222</c:v>
              </c:pt>
              <c:pt idx="14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E42-419D-82F1-297160EE3139}"/>
            </c:ext>
          </c:extLst>
        </c:ser>
        <c:ser>
          <c:idx val="1"/>
          <c:order val="1"/>
          <c:tx>
            <c:v>консольная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  <c:pt idx="6">
                <c:v>1.2</c:v>
              </c:pt>
              <c:pt idx="7">
                <c:v>1.4</c:v>
              </c:pt>
              <c:pt idx="8">
                <c:v>1.6</c:v>
              </c:pt>
              <c:pt idx="9">
                <c:v>1.8</c:v>
              </c:pt>
              <c:pt idx="10">
                <c:v>2</c:v>
              </c:pt>
              <c:pt idx="11">
                <c:v>2.2000000000000002</c:v>
              </c:pt>
              <c:pt idx="12">
                <c:v>2.4</c:v>
              </c:pt>
              <c:pt idx="13">
                <c:v>2.6</c:v>
              </c:pt>
              <c:pt idx="14">
                <c:v>2.8</c:v>
              </c:pt>
            </c:numLit>
          </c:xVal>
          <c:yVal>
            <c:numLit>
              <c:formatCode>General</c:formatCode>
              <c:ptCount val="15"/>
              <c:pt idx="0">
                <c:v>0</c:v>
              </c:pt>
              <c:pt idx="1">
                <c:v>0.24888888888888888</c:v>
              </c:pt>
              <c:pt idx="2">
                <c:v>0.46222222222222226</c:v>
              </c:pt>
              <c:pt idx="3">
                <c:v>0.64</c:v>
              </c:pt>
              <c:pt idx="4">
                <c:v>0.78222222222222226</c:v>
              </c:pt>
              <c:pt idx="5">
                <c:v>0.88888888888888895</c:v>
              </c:pt>
              <c:pt idx="6">
                <c:v>0.96000000000000008</c:v>
              </c:pt>
              <c:pt idx="7">
                <c:v>0.99555555555555564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E42-419D-82F1-297160EE3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710528"/>
        <c:axId val="1491736736"/>
      </c:scatterChart>
      <c:valAx>
        <c:axId val="14917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36736"/>
        <c:crosses val="autoZero"/>
        <c:crossBetween val="midCat"/>
        <c:majorUnit val="0.2"/>
      </c:valAx>
      <c:valAx>
        <c:axId val="149173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Дополнительный коэффициент</a:t>
                </a:r>
                <a:r>
                  <a:rPr lang="ru-RU" baseline="0"/>
                  <a:t> продольного изгиба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71052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2" dropStyle="combo" dx="22" fmlaLink="$AD$5" fmlaRange="$AE$5:$AE$6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66675</xdr:colOff>
      <xdr:row>30</xdr:row>
      <xdr:rowOff>19050</xdr:rowOff>
    </xdr:from>
    <xdr:ext cx="5772150" cy="234315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21100" y="5734050"/>
          <a:ext cx="5772150" cy="23431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15</xdr:row>
      <xdr:rowOff>152400</xdr:rowOff>
    </xdr:from>
    <xdr:ext cx="885825" cy="276225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86925" y="3009900"/>
          <a:ext cx="885825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32</xdr:col>
      <xdr:colOff>161925</xdr:colOff>
      <xdr:row>4</xdr:row>
      <xdr:rowOff>66675</xdr:rowOff>
    </xdr:from>
    <xdr:to>
      <xdr:col>35</xdr:col>
      <xdr:colOff>514350</xdr:colOff>
      <xdr:row>15</xdr:row>
      <xdr:rowOff>72827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1894B1-701E-4990-8A97-80E241AB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0" y="857250"/>
          <a:ext cx="2238375" cy="21873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39</xdr:col>
      <xdr:colOff>152949</xdr:colOff>
      <xdr:row>4</xdr:row>
      <xdr:rowOff>47624</xdr:rowOff>
    </xdr:from>
    <xdr:to>
      <xdr:col>47</xdr:col>
      <xdr:colOff>351314</xdr:colOff>
      <xdr:row>13</xdr:row>
      <xdr:rowOff>47376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74270D2-E902-4C58-8A94-F65B05ED8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8949" y="428624"/>
          <a:ext cx="7894565" cy="17618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23392</xdr:colOff>
      <xdr:row>0</xdr:row>
      <xdr:rowOff>93280</xdr:rowOff>
    </xdr:from>
    <xdr:to>
      <xdr:col>18</xdr:col>
      <xdr:colOff>518258</xdr:colOff>
      <xdr:row>16</xdr:row>
      <xdr:rowOff>124811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C290752-8CCC-4F77-814A-A3C8F62D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442" y="93280"/>
          <a:ext cx="6590866" cy="4203481"/>
        </a:xfrm>
        <a:prstGeom prst="rect">
          <a:avLst/>
        </a:prstGeom>
      </xdr:spPr>
    </xdr:pic>
    <xdr:clientData/>
  </xdr:twoCellAnchor>
  <xdr:twoCellAnchor editAs="oneCell">
    <xdr:from>
      <xdr:col>8</xdr:col>
      <xdr:colOff>51568</xdr:colOff>
      <xdr:row>17</xdr:row>
      <xdr:rowOff>29479</xdr:rowOff>
    </xdr:from>
    <xdr:to>
      <xdr:col>18</xdr:col>
      <xdr:colOff>517163</xdr:colOff>
      <xdr:row>26</xdr:row>
      <xdr:rowOff>104775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EE29728-8603-4276-BC66-0F365CAA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6618" y="4249054"/>
          <a:ext cx="6561595" cy="1789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488015</xdr:colOff>
      <xdr:row>24</xdr:row>
      <xdr:rowOff>113739</xdr:rowOff>
    </xdr:from>
    <xdr:to>
      <xdr:col>25</xdr:col>
      <xdr:colOff>325043</xdr:colOff>
      <xdr:row>48</xdr:row>
      <xdr:rowOff>46501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9925F3-8F64-4CD9-A3AD-581957DD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5190" y="4704789"/>
          <a:ext cx="8371428" cy="45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481853</xdr:colOff>
      <xdr:row>0</xdr:row>
      <xdr:rowOff>0</xdr:rowOff>
    </xdr:from>
    <xdr:to>
      <xdr:col>25</xdr:col>
      <xdr:colOff>247173</xdr:colOff>
      <xdr:row>25</xdr:row>
      <xdr:rowOff>94643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92D9794-5643-4FB2-943A-5BB209B78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9028" y="0"/>
          <a:ext cx="8299720" cy="4857143"/>
        </a:xfrm>
        <a:prstGeom prst="rect">
          <a:avLst/>
        </a:prstGeom>
      </xdr:spPr>
    </xdr:pic>
    <xdr:clientData/>
  </xdr:twoCellAnchor>
  <xdr:twoCellAnchor>
    <xdr:from>
      <xdr:col>3</xdr:col>
      <xdr:colOff>228599</xdr:colOff>
      <xdr:row>22</xdr:row>
      <xdr:rowOff>138112</xdr:rowOff>
    </xdr:from>
    <xdr:to>
      <xdr:col>11</xdr:col>
      <xdr:colOff>76199</xdr:colOff>
      <xdr:row>46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70ADCBB-49A9-4F43-93BA-0C14A94EC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228599</xdr:colOff>
      <xdr:row>22</xdr:row>
      <xdr:rowOff>138112</xdr:rowOff>
    </xdr:from>
    <xdr:to>
      <xdr:col>11</xdr:col>
      <xdr:colOff>76199</xdr:colOff>
      <xdr:row>46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5485C3E-9FB4-4878-B6C3-1855EDE15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228599</xdr:colOff>
      <xdr:row>22</xdr:row>
      <xdr:rowOff>138112</xdr:rowOff>
    </xdr:from>
    <xdr:to>
      <xdr:col>11</xdr:col>
      <xdr:colOff>76199</xdr:colOff>
      <xdr:row>46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6CBFA66-8A61-4700-AC94-BDB129091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228599</xdr:colOff>
      <xdr:row>22</xdr:row>
      <xdr:rowOff>138112</xdr:rowOff>
    </xdr:from>
    <xdr:to>
      <xdr:col>11</xdr:col>
      <xdr:colOff>76199</xdr:colOff>
      <xdr:row>46</xdr:row>
      <xdr:rowOff>76200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C912497-01CA-4FA2-944E-53A12A3E2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9525</xdr:colOff>
          <xdr:row>5</xdr:row>
          <xdr:rowOff>19050</xdr:rowOff>
        </xdr:from>
        <xdr:to>
          <xdr:col>20</xdr:col>
          <xdr:colOff>142875</xdr:colOff>
          <xdr:row>6</xdr:row>
          <xdr:rowOff>28575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5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37</xdr:col>
      <xdr:colOff>171449</xdr:colOff>
      <xdr:row>7</xdr:row>
      <xdr:rowOff>64909</xdr:rowOff>
    </xdr:from>
    <xdr:to>
      <xdr:col>48</xdr:col>
      <xdr:colOff>160652</xdr:colOff>
      <xdr:row>24</xdr:row>
      <xdr:rowOff>218254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672FB3B-D18B-7F50-A7C8-6323E4D7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4" y="1627009"/>
          <a:ext cx="6694803" cy="4325295"/>
        </a:xfrm>
        <a:prstGeom prst="rect">
          <a:avLst/>
        </a:prstGeom>
      </xdr:spPr>
    </xdr:pic>
    <xdr:clientData/>
  </xdr:twoCellAnchor>
  <xdr:twoCellAnchor editAs="oneCell">
    <xdr:from>
      <xdr:col>37</xdr:col>
      <xdr:colOff>219075</xdr:colOff>
      <xdr:row>24</xdr:row>
      <xdr:rowOff>152400</xdr:rowOff>
    </xdr:from>
    <xdr:to>
      <xdr:col>48</xdr:col>
      <xdr:colOff>399189</xdr:colOff>
      <xdr:row>56</xdr:row>
      <xdr:rowOff>94327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FFF9557-0003-E19E-4D1F-98CD461B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82600" y="5886450"/>
          <a:ext cx="6885714" cy="7380952"/>
        </a:xfrm>
        <a:prstGeom prst="rect">
          <a:avLst/>
        </a:prstGeom>
      </xdr:spPr>
    </xdr:pic>
    <xdr:clientData/>
  </xdr:twoCellAnchor>
  <xdr:twoCellAnchor editAs="oneCell">
    <xdr:from>
      <xdr:col>31</xdr:col>
      <xdr:colOff>76200</xdr:colOff>
      <xdr:row>12</xdr:row>
      <xdr:rowOff>47625</xdr:rowOff>
    </xdr:from>
    <xdr:to>
      <xdr:col>35</xdr:col>
      <xdr:colOff>447675</xdr:colOff>
      <xdr:row>13</xdr:row>
      <xdr:rowOff>109513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9533D25-41B9-FABE-8003-A738F7E9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7900" y="2905125"/>
          <a:ext cx="2809875" cy="300013"/>
        </a:xfrm>
        <a:prstGeom prst="rect">
          <a:avLst/>
        </a:prstGeom>
      </xdr:spPr>
    </xdr:pic>
    <xdr:clientData/>
  </xdr:twoCellAnchor>
  <xdr:twoCellAnchor editAs="oneCell">
    <xdr:from>
      <xdr:col>31</xdr:col>
      <xdr:colOff>38100</xdr:colOff>
      <xdr:row>8</xdr:row>
      <xdr:rowOff>24374</xdr:rowOff>
    </xdr:from>
    <xdr:to>
      <xdr:col>35</xdr:col>
      <xdr:colOff>580590</xdr:colOff>
      <xdr:row>8</xdr:row>
      <xdr:rowOff>285712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56520D0-A531-E834-E484-40145E068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9800" y="1853174"/>
          <a:ext cx="2980890" cy="261338"/>
        </a:xfrm>
        <a:prstGeom prst="rect">
          <a:avLst/>
        </a:prstGeom>
      </xdr:spPr>
    </xdr:pic>
    <xdr:clientData/>
  </xdr:twoCellAnchor>
  <xdr:twoCellAnchor editAs="oneCell">
    <xdr:from>
      <xdr:col>31</xdr:col>
      <xdr:colOff>476250</xdr:colOff>
      <xdr:row>8</xdr:row>
      <xdr:rowOff>292362</xdr:rowOff>
    </xdr:from>
    <xdr:to>
      <xdr:col>33</xdr:col>
      <xdr:colOff>466480</xdr:colOff>
      <xdr:row>10</xdr:row>
      <xdr:rowOff>152320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7318558-187F-CC17-3371-D14A4AC4E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67950" y="2121162"/>
          <a:ext cx="1209430" cy="393358"/>
        </a:xfrm>
        <a:prstGeom prst="rect">
          <a:avLst/>
        </a:prstGeom>
      </xdr:spPr>
    </xdr:pic>
    <xdr:clientData/>
  </xdr:twoCellAnchor>
  <xdr:twoCellAnchor editAs="oneCell">
    <xdr:from>
      <xdr:col>31</xdr:col>
      <xdr:colOff>514350</xdr:colOff>
      <xdr:row>13</xdr:row>
      <xdr:rowOff>45644</xdr:rowOff>
    </xdr:from>
    <xdr:to>
      <xdr:col>33</xdr:col>
      <xdr:colOff>581025</xdr:colOff>
      <xdr:row>14</xdr:row>
      <xdr:rowOff>218999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22276AF-262A-F30D-D92A-D950E0F08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06050" y="3141269"/>
          <a:ext cx="1285875" cy="411480"/>
        </a:xfrm>
        <a:prstGeom prst="rect">
          <a:avLst/>
        </a:prstGeom>
      </xdr:spPr>
    </xdr:pic>
    <xdr:clientData/>
  </xdr:twoCellAnchor>
  <xdr:twoCellAnchor editAs="oneCell">
    <xdr:from>
      <xdr:col>31</xdr:col>
      <xdr:colOff>238125</xdr:colOff>
      <xdr:row>16</xdr:row>
      <xdr:rowOff>9526</xdr:rowOff>
    </xdr:from>
    <xdr:to>
      <xdr:col>34</xdr:col>
      <xdr:colOff>276225</xdr:colOff>
      <xdr:row>18</xdr:row>
      <xdr:rowOff>235586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90C9EFE-11D6-7C20-DEC5-4C90FBEE4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29825" y="3838576"/>
          <a:ext cx="1866900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277007</xdr:colOff>
      <xdr:row>20</xdr:row>
      <xdr:rowOff>28575</xdr:rowOff>
    </xdr:from>
    <xdr:to>
      <xdr:col>34</xdr:col>
      <xdr:colOff>504560</xdr:colOff>
      <xdr:row>22</xdr:row>
      <xdr:rowOff>228513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AE7D1A0-6448-4221-FB8D-9DC273D0E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68707" y="4829175"/>
          <a:ext cx="2056353" cy="676188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123825</xdr:colOff>
      <xdr:row>24</xdr:row>
      <xdr:rowOff>19050</xdr:rowOff>
    </xdr:from>
    <xdr:to>
      <xdr:col>36</xdr:col>
      <xdr:colOff>522893</xdr:colOff>
      <xdr:row>34</xdr:row>
      <xdr:rowOff>37800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64DE320-C65C-F51B-A3A7-C4176D5BD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19675" y="5753100"/>
          <a:ext cx="7857143" cy="24000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190500</xdr:colOff>
      <xdr:row>33</xdr:row>
      <xdr:rowOff>133349</xdr:rowOff>
    </xdr:from>
    <xdr:to>
      <xdr:col>37</xdr:col>
      <xdr:colOff>166205</xdr:colOff>
      <xdr:row>50</xdr:row>
      <xdr:rowOff>66188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4770400-4F6E-D714-4097-5D0B0F7D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48225" y="8010524"/>
          <a:ext cx="8281505" cy="38571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66675</xdr:rowOff>
    </xdr:from>
    <xdr:ext cx="2520000" cy="2462334"/>
    <xdr:pic>
      <xdr:nvPicPr>
        <xdr:cNvPr id="2" name="Рисунок 1">
          <a:extLst>
            <a:ext uri="{FF2B5EF4-FFF2-40B4-BE49-F238E27FC236}">
              <a16:creationId xmlns:a16="http://schemas.microsoft.com/office/drawing/2014/main" id="{7F152E98-4FDA-4834-9D50-273B3CA42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57175"/>
          <a:ext cx="2520000" cy="2462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104775</xdr:colOff>
      <xdr:row>1</xdr:row>
      <xdr:rowOff>171450</xdr:rowOff>
    </xdr:from>
    <xdr:ext cx="2562225" cy="30384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838950" y="361950"/>
          <a:ext cx="2562225" cy="3038475"/>
        </a:xfrm>
        <a:prstGeom prst="roundRect">
          <a:avLst>
            <a:gd name="adj" fmla="val 8889"/>
          </a:avLst>
        </a:prstGeom>
        <a:noFill/>
        <a:ln w="12700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19050</xdr:colOff>
      <xdr:row>11</xdr:row>
      <xdr:rowOff>28575</xdr:rowOff>
    </xdr:from>
    <xdr:ext cx="285750" cy="7810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715250" y="2124075"/>
          <a:ext cx="285750" cy="7810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76200</xdr:colOff>
      <xdr:row>12</xdr:row>
      <xdr:rowOff>19050</xdr:rowOff>
    </xdr:from>
    <xdr:ext cx="685800" cy="42862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6810375" y="2305050"/>
          <a:ext cx="685800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Quattrocento Sans"/>
            <a:buNone/>
          </a:pPr>
          <a:r>
            <a:rPr lang="en-US" sz="16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&gt;</a:t>
          </a:r>
          <a:endParaRPr sz="1600"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14</xdr:col>
      <xdr:colOff>238125</xdr:colOff>
      <xdr:row>4</xdr:row>
      <xdr:rowOff>0</xdr:rowOff>
    </xdr:from>
    <xdr:ext cx="295275" cy="790575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3706475" y="762000"/>
          <a:ext cx="295275" cy="7905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381000</xdr:colOff>
      <xdr:row>5</xdr:row>
      <xdr:rowOff>0</xdr:rowOff>
    </xdr:from>
    <xdr:ext cx="685800" cy="428625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2887325" y="952500"/>
          <a:ext cx="685800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Quattrocento Sans"/>
            <a:buNone/>
          </a:pPr>
          <a:r>
            <a:rPr lang="en-US" sz="16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&gt;</a:t>
          </a:r>
          <a:endParaRPr sz="1600"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14</xdr:col>
      <xdr:colOff>0</xdr:colOff>
      <xdr:row>2</xdr:row>
      <xdr:rowOff>161925</xdr:rowOff>
    </xdr:from>
    <xdr:ext cx="2409825" cy="175260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3468350" y="542925"/>
          <a:ext cx="2409825" cy="1752600"/>
        </a:xfrm>
        <a:prstGeom prst="roundRect">
          <a:avLst>
            <a:gd name="adj" fmla="val 8889"/>
          </a:avLst>
        </a:prstGeom>
        <a:noFill/>
        <a:ln w="12700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0</xdr:row>
      <xdr:rowOff>104775</xdr:rowOff>
    </xdr:from>
    <xdr:ext cx="5514975" cy="34290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3971925" y="104775"/>
          <a:ext cx="5514975" cy="342900"/>
        </a:xfrm>
        <a:prstGeom prst="rect">
          <a:avLst/>
        </a:prstGeom>
        <a:noFill/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Расчет длины анкеровки/нахлестки ненапрягаемой арматуры СП 63.13330.2018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21</xdr:col>
      <xdr:colOff>123825</xdr:colOff>
      <xdr:row>28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221270E-129C-0A9A-AAC2-26B8ADD6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500"/>
          <a:ext cx="5610225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21</xdr:col>
      <xdr:colOff>247650</xdr:colOff>
      <xdr:row>46</xdr:row>
      <xdr:rowOff>95250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A7FA420-655A-8A8E-4326-9C54B3AF6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15000"/>
          <a:ext cx="57340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82472</xdr:colOff>
      <xdr:row>23</xdr:row>
      <xdr:rowOff>104774</xdr:rowOff>
    </xdr:from>
    <xdr:to>
      <xdr:col>0</xdr:col>
      <xdr:colOff>1520540</xdr:colOff>
      <xdr:row>31</xdr:row>
      <xdr:rowOff>27946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2" y="5286374"/>
          <a:ext cx="1438068" cy="1494797"/>
        </a:xfrm>
        <a:prstGeom prst="rect">
          <a:avLst/>
        </a:prstGeom>
      </xdr:spPr>
    </xdr:pic>
    <xdr:clientData/>
  </xdr:twoCellAnchor>
  <xdr:twoCellAnchor editAs="oneCell">
    <xdr:from>
      <xdr:col>8</xdr:col>
      <xdr:colOff>191690</xdr:colOff>
      <xdr:row>23</xdr:row>
      <xdr:rowOff>220266</xdr:rowOff>
    </xdr:from>
    <xdr:to>
      <xdr:col>8</xdr:col>
      <xdr:colOff>1629758</xdr:colOff>
      <xdr:row>31</xdr:row>
      <xdr:rowOff>145819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4315" y="5423297"/>
          <a:ext cx="1438068" cy="1497178"/>
        </a:xfrm>
        <a:prstGeom prst="rect">
          <a:avLst/>
        </a:prstGeom>
      </xdr:spPr>
    </xdr:pic>
    <xdr:clientData/>
  </xdr:twoCellAnchor>
  <xdr:twoCellAnchor editAs="oneCell">
    <xdr:from>
      <xdr:col>16</xdr:col>
      <xdr:colOff>189293</xdr:colOff>
      <xdr:row>2</xdr:row>
      <xdr:rowOff>123825</xdr:rowOff>
    </xdr:from>
    <xdr:to>
      <xdr:col>16</xdr:col>
      <xdr:colOff>1609106</xdr:colOff>
      <xdr:row>10</xdr:row>
      <xdr:rowOff>27945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4143" y="838200"/>
          <a:ext cx="1419813" cy="1447170"/>
        </a:xfrm>
        <a:prstGeom prst="rect">
          <a:avLst/>
        </a:prstGeom>
      </xdr:spPr>
    </xdr:pic>
    <xdr:clientData/>
  </xdr:twoCellAnchor>
  <xdr:twoCellAnchor editAs="oneCell">
    <xdr:from>
      <xdr:col>8</xdr:col>
      <xdr:colOff>207450</xdr:colOff>
      <xdr:row>3</xdr:row>
      <xdr:rowOff>9525</xdr:rowOff>
    </xdr:from>
    <xdr:to>
      <xdr:col>8</xdr:col>
      <xdr:colOff>1675796</xdr:colOff>
      <xdr:row>10</xdr:row>
      <xdr:rowOff>189873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5350" y="923925"/>
          <a:ext cx="1468346" cy="1523373"/>
        </a:xfrm>
        <a:prstGeom prst="rect">
          <a:avLst/>
        </a:prstGeom>
      </xdr:spPr>
    </xdr:pic>
    <xdr:clientData/>
  </xdr:twoCellAnchor>
  <xdr:twoCellAnchor editAs="oneCell">
    <xdr:from>
      <xdr:col>16</xdr:col>
      <xdr:colOff>172234</xdr:colOff>
      <xdr:row>24</xdr:row>
      <xdr:rowOff>47625</xdr:rowOff>
    </xdr:from>
    <xdr:to>
      <xdr:col>16</xdr:col>
      <xdr:colOff>1666285</xdr:colOff>
      <xdr:row>32</xdr:row>
      <xdr:rowOff>56542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7034" y="5457825"/>
          <a:ext cx="1494051" cy="1542442"/>
        </a:xfrm>
        <a:prstGeom prst="rect">
          <a:avLst/>
        </a:prstGeom>
      </xdr:spPr>
    </xdr:pic>
    <xdr:clientData/>
  </xdr:twoCellAnchor>
  <xdr:twoCellAnchor editAs="oneCell">
    <xdr:from>
      <xdr:col>16</xdr:col>
      <xdr:colOff>31572</xdr:colOff>
      <xdr:row>45</xdr:row>
      <xdr:rowOff>28575</xdr:rowOff>
    </xdr:from>
    <xdr:to>
      <xdr:col>16</xdr:col>
      <xdr:colOff>1666279</xdr:colOff>
      <xdr:row>53</xdr:row>
      <xdr:rowOff>135137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66372" y="9886950"/>
          <a:ext cx="1634707" cy="1628181"/>
        </a:xfrm>
        <a:prstGeom prst="rect">
          <a:avLst/>
        </a:prstGeom>
      </xdr:spPr>
    </xdr:pic>
    <xdr:clientData/>
  </xdr:twoCellAnchor>
  <xdr:twoCellAnchor editAs="oneCell">
    <xdr:from>
      <xdr:col>7</xdr:col>
      <xdr:colOff>386954</xdr:colOff>
      <xdr:row>44</xdr:row>
      <xdr:rowOff>119062</xdr:rowOff>
    </xdr:from>
    <xdr:to>
      <xdr:col>8</xdr:col>
      <xdr:colOff>1695967</xdr:colOff>
      <xdr:row>52</xdr:row>
      <xdr:rowOff>23156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07845" y="9810750"/>
          <a:ext cx="1850747" cy="144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0</xdr:row>
      <xdr:rowOff>28575</xdr:rowOff>
    </xdr:from>
    <xdr:ext cx="6610350" cy="304800"/>
    <xdr:sp macro="" textlink="">
      <xdr:nvSpPr>
        <xdr:cNvPr id="2" name="Shape 2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3171825" y="28575"/>
          <a:ext cx="6610350" cy="304800"/>
        </a:xfrm>
        <a:prstGeom prst="rect">
          <a:avLst/>
        </a:prstGeom>
        <a:noFill/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Определение суммарной площади арматурных стержней по их диаметру с учетом перераспределения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390525</xdr:colOff>
      <xdr:row>19</xdr:row>
      <xdr:rowOff>85725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84D17CA-186C-E5C0-4588-B5FC1967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709612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13</xdr:col>
      <xdr:colOff>390525</xdr:colOff>
      <xdr:row>47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C5CB630-77E9-B1A3-06AB-92A1DED0B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7096125" cy="518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176893</xdr:rowOff>
    </xdr:from>
    <xdr:to>
      <xdr:col>13</xdr:col>
      <xdr:colOff>352425</xdr:colOff>
      <xdr:row>70</xdr:row>
      <xdr:rowOff>81643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5C9538C-1553-5153-830B-3ACE3A97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8939893"/>
          <a:ext cx="7087961" cy="447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snyak/Desktop/&#1041;&#1080;&#1073;&#1083;&#1080;&#1086;&#1090;&#1077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рм.зад."/>
      <sheetName val="Основ"/>
      <sheetName val="Ветер парапета"/>
      <sheetName val="Пр сваи"/>
      <sheetName val="Расчётные длины"/>
      <sheetName val="Подбор армирования"/>
      <sheetName val="Мак значение"/>
      <sheetName val="К.треб."/>
      <sheetName val="Конвектор"/>
      <sheetName val="Свая"/>
      <sheetName val="Геология"/>
      <sheetName val="Лист2"/>
      <sheetName val="Подпорка"/>
      <sheetName val="Подпорка (всп)"/>
      <sheetName val="Ветер парапета (2)"/>
      <sheetName val="Подбор армирования (2)"/>
    </sheetNames>
    <sheetDataSet>
      <sheetData sheetId="0"/>
      <sheetData sheetId="1"/>
      <sheetData sheetId="2">
        <row r="31">
          <cell r="O31">
            <v>3</v>
          </cell>
        </row>
        <row r="32">
          <cell r="O32">
            <v>1.5</v>
          </cell>
        </row>
        <row r="33">
          <cell r="O33">
            <v>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fischer-market.ru/" TargetMode="External"/><Relationship Id="rId1" Type="http://schemas.openxmlformats.org/officeDocument/2006/relationships/hyperlink" Target="https://ru.sormat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topLeftCell="D1" zoomScale="85" zoomScaleNormal="85" workbookViewId="0">
      <selection activeCell="N33" sqref="N33"/>
    </sheetView>
  </sheetViews>
  <sheetFormatPr defaultRowHeight="15"/>
  <cols>
    <col min="2" max="14" width="18.28515625" customWidth="1"/>
    <col min="15" max="16" width="6.42578125" customWidth="1"/>
    <col min="17" max="18" width="10.42578125" customWidth="1"/>
  </cols>
  <sheetData>
    <row r="1" spans="1:26" ht="15.75" customHeight="1">
      <c r="A1" s="13"/>
      <c r="B1" s="13"/>
      <c r="C1" s="13"/>
      <c r="D1" s="13"/>
      <c r="E1" s="13"/>
      <c r="F1" s="13"/>
      <c r="G1" s="13"/>
    </row>
    <row r="2" spans="1:26" ht="15.75" customHeight="1">
      <c r="A2" s="13"/>
      <c r="B2" s="641" t="s">
        <v>124</v>
      </c>
      <c r="C2" s="641"/>
      <c r="D2" s="641"/>
      <c r="E2" s="641"/>
      <c r="F2" s="641"/>
      <c r="G2" s="641"/>
      <c r="H2" s="60"/>
      <c r="I2" s="641" t="s">
        <v>125</v>
      </c>
      <c r="J2" s="641"/>
      <c r="K2" s="641"/>
      <c r="L2" s="641"/>
      <c r="M2" s="641"/>
      <c r="N2" s="641"/>
      <c r="Q2" s="502" t="s">
        <v>209</v>
      </c>
      <c r="R2" s="503"/>
      <c r="S2" s="503"/>
      <c r="U2" s="503"/>
      <c r="V2" s="503"/>
    </row>
    <row r="3" spans="1:26" ht="15.75" thickBot="1">
      <c r="A3" s="13"/>
      <c r="I3" s="13"/>
      <c r="J3" s="13"/>
      <c r="K3" s="13"/>
      <c r="L3" s="13"/>
      <c r="M3" s="13"/>
      <c r="N3" s="13"/>
      <c r="Q3" s="503"/>
      <c r="R3" s="503"/>
      <c r="S3" s="503"/>
      <c r="U3" s="503"/>
      <c r="V3" s="503"/>
      <c r="X3" s="637" t="s">
        <v>630</v>
      </c>
      <c r="Y3" s="638"/>
      <c r="Z3" s="639"/>
    </row>
    <row r="4" spans="1:26" ht="45">
      <c r="A4" s="13"/>
      <c r="B4" s="642" t="s">
        <v>41</v>
      </c>
      <c r="C4" s="644" t="s">
        <v>96</v>
      </c>
      <c r="D4" s="33" t="s">
        <v>44</v>
      </c>
      <c r="E4" s="33" t="s">
        <v>42</v>
      </c>
      <c r="F4" s="33" t="s">
        <v>43</v>
      </c>
      <c r="G4" s="34" t="s">
        <v>43</v>
      </c>
      <c r="H4" s="32"/>
      <c r="I4" s="642" t="s">
        <v>41</v>
      </c>
      <c r="J4" s="644" t="s">
        <v>49</v>
      </c>
      <c r="K4" s="29" t="s">
        <v>44</v>
      </c>
      <c r="L4" s="30" t="s">
        <v>42</v>
      </c>
      <c r="M4" s="30" t="s">
        <v>43</v>
      </c>
      <c r="N4" s="31" t="s">
        <v>43</v>
      </c>
      <c r="Q4" s="504" t="s">
        <v>631</v>
      </c>
      <c r="R4" s="504" t="s">
        <v>632</v>
      </c>
      <c r="S4" s="504" t="s">
        <v>633</v>
      </c>
      <c r="U4" s="504" t="s">
        <v>631</v>
      </c>
      <c r="V4" s="504" t="s">
        <v>634</v>
      </c>
      <c r="X4" s="504" t="s">
        <v>635</v>
      </c>
      <c r="Y4" s="504" t="s">
        <v>636</v>
      </c>
      <c r="Z4" s="504" t="s">
        <v>637</v>
      </c>
    </row>
    <row r="5" spans="1:26" ht="16.5" thickBot="1">
      <c r="A5" s="13"/>
      <c r="B5" s="643"/>
      <c r="C5" s="645" t="s">
        <v>97</v>
      </c>
      <c r="D5" s="35">
        <v>0.85</v>
      </c>
      <c r="E5" s="35">
        <v>0.6</v>
      </c>
      <c r="F5" s="35">
        <v>0.3</v>
      </c>
      <c r="G5" s="38">
        <v>0.2</v>
      </c>
      <c r="H5" s="32"/>
      <c r="I5" s="643"/>
      <c r="J5" s="645"/>
      <c r="K5" s="35">
        <v>0.85</v>
      </c>
      <c r="L5" s="36">
        <v>0.6</v>
      </c>
      <c r="M5" s="36">
        <v>0.3</v>
      </c>
      <c r="N5" s="37">
        <v>0.2</v>
      </c>
      <c r="Q5" s="505" t="s">
        <v>323</v>
      </c>
      <c r="R5" s="505">
        <v>8.5</v>
      </c>
      <c r="S5" s="505">
        <v>0.75</v>
      </c>
      <c r="U5" s="505" t="s">
        <v>323</v>
      </c>
      <c r="V5" s="506">
        <v>24000</v>
      </c>
      <c r="X5" s="1">
        <v>0</v>
      </c>
      <c r="Y5" s="1">
        <v>0</v>
      </c>
      <c r="Z5" s="1">
        <v>0</v>
      </c>
    </row>
    <row r="6" spans="1:26" ht="15.75">
      <c r="A6" s="13"/>
      <c r="B6" s="34" t="s">
        <v>101</v>
      </c>
      <c r="C6" s="43">
        <v>2803260</v>
      </c>
      <c r="D6" s="205">
        <v>2382800</v>
      </c>
      <c r="E6" s="206">
        <v>1682000</v>
      </c>
      <c r="F6" s="206">
        <v>841000</v>
      </c>
      <c r="G6" s="207">
        <v>560700</v>
      </c>
      <c r="H6" s="32"/>
      <c r="I6" s="34" t="s">
        <v>101</v>
      </c>
      <c r="J6" s="39">
        <v>2.75</v>
      </c>
      <c r="K6" s="40">
        <f>J6*K$5</f>
        <v>2.3374999999999999</v>
      </c>
      <c r="L6" s="41">
        <f>K6*L$5</f>
        <v>1.4024999999999999</v>
      </c>
      <c r="M6" s="41">
        <f>L6*M$5</f>
        <v>0.42074999999999996</v>
      </c>
      <c r="N6" s="42">
        <f>M6*N$5</f>
        <v>8.4150000000000003E-2</v>
      </c>
      <c r="Q6" s="505" t="s">
        <v>322</v>
      </c>
      <c r="R6" s="505">
        <v>11.5</v>
      </c>
      <c r="S6" s="505">
        <v>0.9</v>
      </c>
      <c r="U6" s="505" t="s">
        <v>322</v>
      </c>
      <c r="V6" s="506">
        <v>27500</v>
      </c>
      <c r="X6" s="1">
        <v>6</v>
      </c>
      <c r="Y6" s="507">
        <v>0.28300000000000003</v>
      </c>
      <c r="Z6" s="507">
        <v>0.222</v>
      </c>
    </row>
    <row r="7" spans="1:26" ht="15.75">
      <c r="A7" s="13"/>
      <c r="B7" s="123" t="s">
        <v>45</v>
      </c>
      <c r="C7" s="125">
        <v>3058100</v>
      </c>
      <c r="D7" s="210">
        <v>2599400</v>
      </c>
      <c r="E7" s="211">
        <v>1835000</v>
      </c>
      <c r="F7" s="211">
        <v>917400</v>
      </c>
      <c r="G7" s="211">
        <v>611600</v>
      </c>
      <c r="H7" s="32"/>
      <c r="I7" s="44" t="s">
        <v>45</v>
      </c>
      <c r="J7" s="43">
        <v>3.06</v>
      </c>
      <c r="K7" s="45">
        <f>J7*K$5</f>
        <v>2.601</v>
      </c>
      <c r="L7" s="46">
        <f>J7*L$5</f>
        <v>1.8359999999999999</v>
      </c>
      <c r="M7" s="46">
        <f>J7*M$5</f>
        <v>0.91799999999999993</v>
      </c>
      <c r="N7" s="47">
        <f>J7*N$5</f>
        <v>0.6120000000000001</v>
      </c>
      <c r="Q7" s="505" t="s">
        <v>77</v>
      </c>
      <c r="R7" s="505">
        <v>14.5</v>
      </c>
      <c r="S7" s="505">
        <v>1.05</v>
      </c>
      <c r="U7" s="505" t="s">
        <v>77</v>
      </c>
      <c r="V7" s="506">
        <v>30000</v>
      </c>
      <c r="X7" s="1">
        <v>8</v>
      </c>
      <c r="Y7" s="507">
        <v>0.503</v>
      </c>
      <c r="Z7" s="507">
        <v>0.39500000000000002</v>
      </c>
    </row>
    <row r="8" spans="1:26" ht="15.75">
      <c r="A8" s="13"/>
      <c r="B8" s="51" t="s">
        <v>46</v>
      </c>
      <c r="C8" s="52">
        <v>3312940</v>
      </c>
      <c r="D8" s="208">
        <v>2816000</v>
      </c>
      <c r="E8" s="209">
        <v>1987800</v>
      </c>
      <c r="F8" s="209">
        <v>993900</v>
      </c>
      <c r="G8" s="209">
        <v>662600</v>
      </c>
      <c r="H8" s="32"/>
      <c r="I8" s="50" t="s">
        <v>46</v>
      </c>
      <c r="J8" s="49">
        <v>3.31</v>
      </c>
      <c r="K8" s="45">
        <f>J8*K$5</f>
        <v>2.8134999999999999</v>
      </c>
      <c r="L8" s="46">
        <f>J8*L$5</f>
        <v>1.986</v>
      </c>
      <c r="M8" s="46">
        <f>J8*M$5</f>
        <v>0.99299999999999999</v>
      </c>
      <c r="N8" s="47">
        <f>J8*N$5</f>
        <v>0.66200000000000003</v>
      </c>
      <c r="Q8" s="505" t="s">
        <v>78</v>
      </c>
      <c r="R8" s="505">
        <v>17</v>
      </c>
      <c r="S8" s="505">
        <v>1.1499999999999999</v>
      </c>
      <c r="U8" s="505" t="s">
        <v>78</v>
      </c>
      <c r="V8" s="506">
        <v>32500</v>
      </c>
      <c r="X8" s="1">
        <v>10</v>
      </c>
      <c r="Y8" s="507">
        <v>0.78500000000000003</v>
      </c>
      <c r="Z8" s="507">
        <v>0.61699999999999999</v>
      </c>
    </row>
    <row r="9" spans="1:26" ht="15.75">
      <c r="A9" s="13"/>
      <c r="B9" s="124" t="s">
        <v>47</v>
      </c>
      <c r="C9" s="126">
        <v>3516810</v>
      </c>
      <c r="D9" s="210">
        <v>2989290</v>
      </c>
      <c r="E9" s="211">
        <v>2110100</v>
      </c>
      <c r="F9" s="211">
        <v>1055000</v>
      </c>
      <c r="G9" s="211">
        <v>703400</v>
      </c>
      <c r="H9" s="32"/>
      <c r="I9" s="50" t="s">
        <v>47</v>
      </c>
      <c r="J9" s="49">
        <v>3.52</v>
      </c>
      <c r="K9" s="53">
        <f>J9*K$5</f>
        <v>2.992</v>
      </c>
      <c r="L9" s="46">
        <f>J9*L$5</f>
        <v>2.1120000000000001</v>
      </c>
      <c r="M9" s="46">
        <f>J9*M$5</f>
        <v>1.056</v>
      </c>
      <c r="N9" s="47">
        <f>J9*N$5</f>
        <v>0.70400000000000007</v>
      </c>
      <c r="Q9" s="505" t="s">
        <v>79</v>
      </c>
      <c r="R9" s="505">
        <v>19.5</v>
      </c>
      <c r="S9" s="505">
        <v>1.3</v>
      </c>
      <c r="U9" s="505" t="s">
        <v>79</v>
      </c>
      <c r="V9" s="506">
        <v>34500</v>
      </c>
      <c r="X9" s="1">
        <v>12</v>
      </c>
      <c r="Y9" s="507">
        <v>1.131</v>
      </c>
      <c r="Z9" s="507">
        <v>0.88800000000000001</v>
      </c>
    </row>
    <row r="10" spans="1:26" ht="15.75">
      <c r="A10" s="13"/>
      <c r="B10" s="48" t="s">
        <v>48</v>
      </c>
      <c r="C10" s="54">
        <v>3669720</v>
      </c>
      <c r="D10" s="208">
        <v>3119300</v>
      </c>
      <c r="E10" s="209">
        <v>2201800</v>
      </c>
      <c r="F10" s="209">
        <v>1100900</v>
      </c>
      <c r="G10" s="209">
        <v>734000</v>
      </c>
      <c r="H10" s="32"/>
      <c r="I10" s="50" t="s">
        <v>48</v>
      </c>
      <c r="J10" s="49">
        <v>3.67</v>
      </c>
      <c r="K10" s="53">
        <f>J10*K$5</f>
        <v>3.1194999999999999</v>
      </c>
      <c r="L10" s="46">
        <f>J10*L$5</f>
        <v>2.202</v>
      </c>
      <c r="M10" s="46">
        <f>J10*M$5</f>
        <v>1.101</v>
      </c>
      <c r="N10" s="47">
        <f>J10*N$5</f>
        <v>0.73399999999999999</v>
      </c>
      <c r="Q10" s="505" t="s">
        <v>80</v>
      </c>
      <c r="R10" s="505">
        <v>22</v>
      </c>
      <c r="S10" s="505">
        <v>1.4</v>
      </c>
      <c r="U10" s="505" t="s">
        <v>80</v>
      </c>
      <c r="V10" s="506">
        <v>36000</v>
      </c>
      <c r="X10" s="1">
        <v>14</v>
      </c>
      <c r="Y10" s="507">
        <v>1.5390000000000001</v>
      </c>
      <c r="Z10" s="507">
        <v>1.208</v>
      </c>
    </row>
    <row r="11" spans="1:26" ht="16.5" thickBot="1">
      <c r="B11" s="124" t="s">
        <v>50</v>
      </c>
      <c r="C11" s="125">
        <v>3870000</v>
      </c>
      <c r="D11" s="210">
        <v>3290000</v>
      </c>
      <c r="E11" s="211">
        <v>2322000</v>
      </c>
      <c r="F11" s="211">
        <v>1161000</v>
      </c>
      <c r="G11" s="211">
        <v>774000</v>
      </c>
      <c r="H11" s="32"/>
      <c r="I11" s="55" t="s">
        <v>50</v>
      </c>
      <c r="J11" s="56">
        <v>3.7</v>
      </c>
      <c r="K11" s="57">
        <f>J11*K$5</f>
        <v>3.145</v>
      </c>
      <c r="L11" s="58">
        <f>J11*L$5</f>
        <v>2.2200000000000002</v>
      </c>
      <c r="M11" s="58">
        <f>J11*M$5</f>
        <v>1.1100000000000001</v>
      </c>
      <c r="N11" s="59">
        <f>J11*N$5</f>
        <v>0.7400000000000001</v>
      </c>
      <c r="Q11" s="505" t="s">
        <v>638</v>
      </c>
      <c r="R11" s="505">
        <v>25</v>
      </c>
      <c r="S11" s="505">
        <v>1.5</v>
      </c>
      <c r="U11" s="505" t="s">
        <v>638</v>
      </c>
      <c r="V11" s="506">
        <v>37000</v>
      </c>
      <c r="X11" s="1">
        <v>16</v>
      </c>
      <c r="Y11" s="507">
        <v>2.0110000000000001</v>
      </c>
      <c r="Z11" s="507">
        <v>1.5780000000000001</v>
      </c>
    </row>
    <row r="12" spans="1:26" ht="15.75">
      <c r="B12" s="48" t="s">
        <v>104</v>
      </c>
      <c r="C12" s="54">
        <v>4025000</v>
      </c>
      <c r="D12" s="208">
        <v>3421000</v>
      </c>
      <c r="E12" s="209">
        <v>2415000</v>
      </c>
      <c r="F12" s="209">
        <v>1207000</v>
      </c>
      <c r="G12" s="209">
        <v>805000</v>
      </c>
      <c r="Q12" s="505" t="s">
        <v>639</v>
      </c>
      <c r="R12" s="505">
        <v>27.5</v>
      </c>
      <c r="S12" s="505">
        <v>1.6</v>
      </c>
      <c r="U12" s="505" t="s">
        <v>639</v>
      </c>
      <c r="V12" s="506">
        <v>38000</v>
      </c>
      <c r="X12" s="1">
        <v>18</v>
      </c>
      <c r="Y12" s="507">
        <v>2.5449999999999999</v>
      </c>
      <c r="Z12" s="507">
        <v>1.998</v>
      </c>
    </row>
    <row r="13" spans="1:26" ht="16.5" thickBot="1">
      <c r="M13" s="255" t="s">
        <v>254</v>
      </c>
      <c r="N13" s="255" t="s">
        <v>255</v>
      </c>
      <c r="Q13" s="505" t="s">
        <v>640</v>
      </c>
      <c r="R13" s="505">
        <v>30</v>
      </c>
      <c r="S13" s="505">
        <v>1.7</v>
      </c>
      <c r="U13" s="505" t="s">
        <v>640</v>
      </c>
      <c r="V13" s="506">
        <v>39000</v>
      </c>
      <c r="X13" s="1">
        <v>20</v>
      </c>
      <c r="Y13" s="507">
        <v>3.1419999999999999</v>
      </c>
      <c r="Z13" s="507">
        <v>2.4660000000000002</v>
      </c>
    </row>
    <row r="14" spans="1:26" ht="15.75">
      <c r="B14" s="61" t="s">
        <v>98</v>
      </c>
      <c r="C14" s="62">
        <v>27500</v>
      </c>
      <c r="D14" s="62">
        <v>30000</v>
      </c>
      <c r="E14" s="62">
        <v>32500</v>
      </c>
      <c r="F14" s="62">
        <v>34500</v>
      </c>
      <c r="G14" s="62">
        <v>36000</v>
      </c>
      <c r="H14" s="62">
        <v>37000</v>
      </c>
      <c r="I14" s="62">
        <v>38000</v>
      </c>
      <c r="J14" s="62">
        <v>39000</v>
      </c>
      <c r="K14" s="62">
        <v>39500</v>
      </c>
      <c r="L14" s="32"/>
      <c r="M14" s="256">
        <v>180</v>
      </c>
      <c r="N14" s="251"/>
      <c r="Q14" s="505" t="s">
        <v>641</v>
      </c>
      <c r="R14" s="505">
        <v>33</v>
      </c>
      <c r="S14" s="505">
        <v>1.8</v>
      </c>
      <c r="U14" s="505" t="s">
        <v>641</v>
      </c>
      <c r="V14" s="506">
        <v>39500</v>
      </c>
      <c r="X14" s="1">
        <v>22</v>
      </c>
      <c r="Y14" s="507">
        <v>3.8010000000000002</v>
      </c>
      <c r="Z14" s="507">
        <v>2.984</v>
      </c>
    </row>
    <row r="15" spans="1:26" ht="16.5" thickBot="1">
      <c r="B15" s="640" t="s">
        <v>99</v>
      </c>
      <c r="C15" s="640"/>
      <c r="D15" s="640"/>
      <c r="E15" s="640"/>
      <c r="F15" s="640"/>
      <c r="G15" s="640"/>
      <c r="H15" s="640"/>
      <c r="I15" s="640"/>
      <c r="J15" s="640"/>
      <c r="K15" s="640"/>
      <c r="L15" s="32"/>
      <c r="M15" s="256">
        <v>200</v>
      </c>
      <c r="N15" s="247"/>
      <c r="Q15" s="505" t="s">
        <v>642</v>
      </c>
      <c r="R15" s="505">
        <v>37</v>
      </c>
      <c r="S15" s="505">
        <v>1.9</v>
      </c>
      <c r="U15" s="505" t="s">
        <v>642</v>
      </c>
      <c r="V15" s="506">
        <v>41000</v>
      </c>
      <c r="X15" s="1">
        <v>25</v>
      </c>
      <c r="Y15" s="507">
        <v>4.9089999999999998</v>
      </c>
      <c r="Z15" s="507">
        <v>3.84</v>
      </c>
    </row>
    <row r="16" spans="1:26" ht="16.5" thickBot="1">
      <c r="B16" s="63" t="s">
        <v>100</v>
      </c>
      <c r="C16" s="64" t="s">
        <v>101</v>
      </c>
      <c r="D16" s="65" t="s">
        <v>45</v>
      </c>
      <c r="E16" s="66" t="s">
        <v>46</v>
      </c>
      <c r="F16" s="66" t="s">
        <v>47</v>
      </c>
      <c r="G16" s="66" t="s">
        <v>48</v>
      </c>
      <c r="H16" s="66" t="s">
        <v>102</v>
      </c>
      <c r="I16" s="66" t="s">
        <v>50</v>
      </c>
      <c r="J16" s="66" t="s">
        <v>103</v>
      </c>
      <c r="K16" s="67" t="s">
        <v>104</v>
      </c>
      <c r="L16" s="32"/>
      <c r="M16" s="256">
        <v>220</v>
      </c>
      <c r="N16" s="18"/>
      <c r="Q16" s="505" t="s">
        <v>643</v>
      </c>
      <c r="R16" s="505">
        <v>41</v>
      </c>
      <c r="S16" s="505">
        <v>2.1</v>
      </c>
      <c r="U16" s="505" t="s">
        <v>643</v>
      </c>
      <c r="V16" s="506">
        <v>42000</v>
      </c>
      <c r="X16" s="1">
        <v>28</v>
      </c>
      <c r="Y16" s="507">
        <v>6.1579999999999995</v>
      </c>
      <c r="Z16" s="507">
        <v>4.83</v>
      </c>
    </row>
    <row r="17" spans="2:26" ht="15.75">
      <c r="B17" s="61" t="s">
        <v>105</v>
      </c>
      <c r="C17" s="68">
        <f>_xlfn.FLOOR.MATH(2803261.9,10)</f>
        <v>2803260</v>
      </c>
      <c r="D17" s="68">
        <f>_xlfn.FLOOR.MATH(3058103,10)</f>
        <v>3058100</v>
      </c>
      <c r="E17" s="69">
        <f>_xlfn.FLOOR.MATH(3312946,10)</f>
        <v>3312940</v>
      </c>
      <c r="F17" s="69">
        <f>_xlfn.FLOOR.MATH(3516819,10)</f>
        <v>3516810</v>
      </c>
      <c r="G17" s="69">
        <f>_xlfn.FLOOR.MATH(3669724,10)</f>
        <v>3669720</v>
      </c>
      <c r="H17" s="69">
        <f>_xlfn.FLOOR.MATH(3771661,10)</f>
        <v>3771660</v>
      </c>
      <c r="I17" s="70">
        <f>_xlfn.FLOOR.MATH(3873,5)*100</f>
        <v>387000</v>
      </c>
      <c r="J17" s="70">
        <f>_xlfn.FLOOR.MATH(3976,5)*100</f>
        <v>397500</v>
      </c>
      <c r="K17" s="71">
        <f>_xlfn.FLOOR.MATH(4026,5)*100</f>
        <v>402500</v>
      </c>
      <c r="L17" s="32"/>
      <c r="M17" s="256">
        <v>250</v>
      </c>
      <c r="N17" s="249"/>
      <c r="Q17" s="505" t="s">
        <v>644</v>
      </c>
      <c r="R17" s="505">
        <v>44</v>
      </c>
      <c r="S17" s="505">
        <v>2.15</v>
      </c>
      <c r="U17" s="505" t="s">
        <v>644</v>
      </c>
      <c r="V17" s="506">
        <v>42500</v>
      </c>
      <c r="X17" s="1">
        <v>32</v>
      </c>
      <c r="Y17" s="507">
        <v>8.0429999999999993</v>
      </c>
      <c r="Z17" s="507">
        <v>6.31</v>
      </c>
    </row>
    <row r="18" spans="2:26" ht="15.75">
      <c r="B18" s="72" t="s">
        <v>106</v>
      </c>
      <c r="C18" s="62">
        <f>0.6*C17</f>
        <v>1681956</v>
      </c>
      <c r="D18" s="62">
        <f>0.6*D17</f>
        <v>1834860</v>
      </c>
      <c r="E18" s="73">
        <f t="shared" ref="E18:K18" si="0">0.6*E17</f>
        <v>1987764</v>
      </c>
      <c r="F18" s="73">
        <f t="shared" si="0"/>
        <v>2110086</v>
      </c>
      <c r="G18" s="73">
        <f t="shared" si="0"/>
        <v>2201832</v>
      </c>
      <c r="H18" s="73">
        <f t="shared" si="0"/>
        <v>2262996</v>
      </c>
      <c r="I18" s="73">
        <f t="shared" si="0"/>
        <v>232200</v>
      </c>
      <c r="J18" s="73">
        <f t="shared" si="0"/>
        <v>238500</v>
      </c>
      <c r="K18" s="74">
        <f t="shared" si="0"/>
        <v>241500</v>
      </c>
      <c r="L18" s="32"/>
      <c r="M18" s="256">
        <v>300</v>
      </c>
      <c r="N18" s="250"/>
      <c r="Q18" s="505" t="s">
        <v>645</v>
      </c>
      <c r="R18" s="505">
        <v>47.5</v>
      </c>
      <c r="S18" s="505">
        <v>2.2000000000000002</v>
      </c>
      <c r="U18" s="505" t="s">
        <v>645</v>
      </c>
      <c r="V18" s="506">
        <v>43000</v>
      </c>
      <c r="X18" s="1">
        <v>36</v>
      </c>
      <c r="Y18" s="507">
        <v>10.179</v>
      </c>
      <c r="Z18" s="507">
        <v>7.99</v>
      </c>
    </row>
    <row r="19" spans="2:26" ht="15.75">
      <c r="B19" s="72" t="s">
        <v>107</v>
      </c>
      <c r="C19" s="62">
        <f>0.3*C17</f>
        <v>840978</v>
      </c>
      <c r="D19" s="62">
        <f>0.3*D17</f>
        <v>917430</v>
      </c>
      <c r="E19" s="73">
        <f t="shared" ref="E19:K19" si="1">0.3*E17</f>
        <v>993882</v>
      </c>
      <c r="F19" s="73">
        <f t="shared" si="1"/>
        <v>1055043</v>
      </c>
      <c r="G19" s="73">
        <f t="shared" si="1"/>
        <v>1100916</v>
      </c>
      <c r="H19" s="73">
        <f t="shared" si="1"/>
        <v>1131498</v>
      </c>
      <c r="I19" s="73">
        <f t="shared" si="1"/>
        <v>116100</v>
      </c>
      <c r="J19" s="73">
        <f t="shared" si="1"/>
        <v>119250</v>
      </c>
      <c r="K19" s="74">
        <f t="shared" si="1"/>
        <v>120750</v>
      </c>
      <c r="L19" s="32"/>
      <c r="M19" s="256">
        <v>350</v>
      </c>
      <c r="N19" s="248"/>
      <c r="Q19" s="503"/>
      <c r="R19" s="503"/>
      <c r="S19" s="503"/>
      <c r="U19" s="503"/>
      <c r="V19" s="503"/>
      <c r="X19" s="1">
        <v>40</v>
      </c>
      <c r="Y19" s="507">
        <v>12.565999999999999</v>
      </c>
      <c r="Z19" s="507">
        <v>9.8650000000000002</v>
      </c>
    </row>
    <row r="20" spans="2:26" ht="15.75">
      <c r="B20" s="75" t="s">
        <v>108</v>
      </c>
      <c r="C20" s="76">
        <f>0.2*C17</f>
        <v>560652</v>
      </c>
      <c r="D20" s="76">
        <f>0.2*D17</f>
        <v>611620</v>
      </c>
      <c r="E20" s="77">
        <f t="shared" ref="E20:K20" si="2">0.2*E17</f>
        <v>662588</v>
      </c>
      <c r="F20" s="77">
        <f t="shared" si="2"/>
        <v>703362</v>
      </c>
      <c r="G20" s="77">
        <f t="shared" si="2"/>
        <v>733944</v>
      </c>
      <c r="H20" s="77">
        <f t="shared" si="2"/>
        <v>754332</v>
      </c>
      <c r="I20" s="77">
        <f t="shared" si="2"/>
        <v>77400</v>
      </c>
      <c r="J20" s="77">
        <f t="shared" si="2"/>
        <v>79500</v>
      </c>
      <c r="K20" s="78">
        <f t="shared" si="2"/>
        <v>80500</v>
      </c>
      <c r="L20" s="32"/>
      <c r="M20" s="256">
        <v>400</v>
      </c>
      <c r="N20" s="253"/>
      <c r="Q20" s="508" t="s">
        <v>646</v>
      </c>
      <c r="R20" s="503"/>
      <c r="S20" s="503"/>
      <c r="U20" s="503"/>
      <c r="V20" s="503"/>
    </row>
    <row r="21" spans="2:26" ht="15.75">
      <c r="B21" s="72" t="s">
        <v>109</v>
      </c>
      <c r="C21" s="62">
        <f>0.85*C17</f>
        <v>2382771</v>
      </c>
      <c r="D21" s="62">
        <f t="shared" ref="D21:K21" si="3">0.85*D17</f>
        <v>2599385</v>
      </c>
      <c r="E21" s="62">
        <f t="shared" si="3"/>
        <v>2815999</v>
      </c>
      <c r="F21" s="62">
        <f t="shared" si="3"/>
        <v>2989288.5</v>
      </c>
      <c r="G21" s="62">
        <f t="shared" si="3"/>
        <v>3119262</v>
      </c>
      <c r="H21" s="62">
        <f t="shared" si="3"/>
        <v>3205911</v>
      </c>
      <c r="I21" s="62">
        <f t="shared" si="3"/>
        <v>328950</v>
      </c>
      <c r="J21" s="62">
        <f t="shared" si="3"/>
        <v>337875</v>
      </c>
      <c r="K21" s="74">
        <f t="shared" si="3"/>
        <v>342125</v>
      </c>
      <c r="L21" s="32"/>
      <c r="M21" s="256">
        <v>500</v>
      </c>
      <c r="N21" s="246"/>
      <c r="Q21" s="503"/>
      <c r="R21" s="503"/>
      <c r="S21" s="503"/>
      <c r="U21" s="503"/>
      <c r="V21" s="503"/>
    </row>
    <row r="22" spans="2:26" ht="15.75">
      <c r="B22" s="79" t="s">
        <v>110</v>
      </c>
      <c r="C22" s="80">
        <v>1172</v>
      </c>
      <c r="D22" s="81">
        <v>1478</v>
      </c>
      <c r="E22" s="82">
        <v>1733</v>
      </c>
      <c r="F22" s="82">
        <v>1988</v>
      </c>
      <c r="G22" s="82">
        <v>2243</v>
      </c>
      <c r="H22" s="82">
        <v>2548</v>
      </c>
      <c r="I22" s="82">
        <v>2803</v>
      </c>
      <c r="J22" s="82">
        <v>3058</v>
      </c>
      <c r="K22" s="83">
        <v>3364</v>
      </c>
      <c r="L22" s="32"/>
      <c r="M22" s="256">
        <v>600</v>
      </c>
      <c r="N22" s="252"/>
      <c r="Q22" s="504" t="s">
        <v>631</v>
      </c>
      <c r="R22" s="504" t="s">
        <v>647</v>
      </c>
      <c r="S22" s="503"/>
      <c r="U22" s="503"/>
      <c r="V22" s="503"/>
    </row>
    <row r="23" spans="2:26" ht="15.75">
      <c r="B23" s="79" t="s">
        <v>111</v>
      </c>
      <c r="C23" s="62">
        <f>0.85*C22</f>
        <v>996.19999999999993</v>
      </c>
      <c r="D23" s="62">
        <f>0.85*D22</f>
        <v>1256.3</v>
      </c>
      <c r="E23" s="73">
        <f t="shared" ref="E23:K23" si="4">0.85*E22</f>
        <v>1473.05</v>
      </c>
      <c r="F23" s="73">
        <f t="shared" si="4"/>
        <v>1689.8</v>
      </c>
      <c r="G23" s="73">
        <f t="shared" si="4"/>
        <v>1906.55</v>
      </c>
      <c r="H23" s="73">
        <f t="shared" si="4"/>
        <v>2165.7999999999997</v>
      </c>
      <c r="I23" s="73">
        <f t="shared" si="4"/>
        <v>2382.5499999999997</v>
      </c>
      <c r="J23" s="73">
        <f t="shared" si="4"/>
        <v>2599.2999999999997</v>
      </c>
      <c r="K23" s="74">
        <f t="shared" si="4"/>
        <v>2859.4</v>
      </c>
      <c r="L23" s="32"/>
      <c r="M23" s="256">
        <v>700</v>
      </c>
      <c r="N23" s="254"/>
      <c r="Q23" s="505" t="s">
        <v>648</v>
      </c>
      <c r="R23" s="506">
        <v>170</v>
      </c>
      <c r="S23" s="503"/>
      <c r="U23" s="503"/>
      <c r="V23" s="503"/>
    </row>
    <row r="24" spans="2:26" ht="16.5" thickBot="1">
      <c r="B24" s="84" t="s">
        <v>112</v>
      </c>
      <c r="C24" s="85">
        <v>90</v>
      </c>
      <c r="D24" s="85">
        <f>_xlfn.FLOOR.MATH(107,5)</f>
        <v>105</v>
      </c>
      <c r="E24" s="86">
        <f>_xlfn.FLOOR.MATH(117,5)</f>
        <v>115</v>
      </c>
      <c r="F24" s="86">
        <f>_xlfn.FLOOR.MATH(132,5)</f>
        <v>130</v>
      </c>
      <c r="G24" s="86">
        <f>_xlfn.FLOOR.MATH(142,5)</f>
        <v>140</v>
      </c>
      <c r="H24" s="86">
        <f>_xlfn.FLOOR.MATH(153,5)</f>
        <v>150</v>
      </c>
      <c r="I24" s="86">
        <f>_xlfn.FLOOR.MATH(163,5)</f>
        <v>160</v>
      </c>
      <c r="J24" s="86">
        <f>_xlfn.FLOOR.MATH(173,5)</f>
        <v>170</v>
      </c>
      <c r="K24" s="87">
        <f>_xlfn.FLOOR.MATH(183,5)</f>
        <v>180</v>
      </c>
      <c r="L24" s="32"/>
      <c r="M24" s="256">
        <v>800</v>
      </c>
      <c r="N24" s="18"/>
      <c r="Q24" s="505" t="s">
        <v>649</v>
      </c>
      <c r="R24" s="506">
        <v>280</v>
      </c>
      <c r="S24" s="503"/>
      <c r="U24" s="503"/>
      <c r="V24" s="503"/>
    </row>
    <row r="25" spans="2:26" ht="16.5" thickBot="1">
      <c r="B25" s="88"/>
      <c r="C25" s="89"/>
      <c r="D25" s="90"/>
      <c r="E25" s="90"/>
      <c r="F25" s="91"/>
      <c r="G25" s="91"/>
      <c r="H25" s="91"/>
      <c r="I25" s="91"/>
      <c r="J25" s="91"/>
      <c r="K25" s="92"/>
      <c r="L25" s="32"/>
      <c r="M25" s="32"/>
      <c r="Q25" s="505" t="s">
        <v>290</v>
      </c>
      <c r="R25" s="506">
        <v>300</v>
      </c>
      <c r="S25" s="503"/>
      <c r="U25" s="503"/>
      <c r="V25" s="503"/>
    </row>
    <row r="26" spans="2:26" ht="15.75">
      <c r="B26" s="61" t="s">
        <v>113</v>
      </c>
      <c r="C26" s="82">
        <f>0.3*C22</f>
        <v>351.59999999999997</v>
      </c>
      <c r="D26" s="82">
        <f>0.3*D22</f>
        <v>443.4</v>
      </c>
      <c r="E26" s="82">
        <f t="shared" ref="E26:K26" si="5">0.3*E22</f>
        <v>519.9</v>
      </c>
      <c r="F26" s="69">
        <f t="shared" si="5"/>
        <v>596.4</v>
      </c>
      <c r="G26" s="69">
        <f t="shared" si="5"/>
        <v>672.9</v>
      </c>
      <c r="H26" s="69">
        <f t="shared" si="5"/>
        <v>764.4</v>
      </c>
      <c r="I26" s="69">
        <f t="shared" si="5"/>
        <v>840.9</v>
      </c>
      <c r="J26" s="69">
        <f t="shared" si="5"/>
        <v>917.4</v>
      </c>
      <c r="K26" s="93">
        <f t="shared" si="5"/>
        <v>1009.1999999999999</v>
      </c>
      <c r="L26" s="32"/>
      <c r="M26" s="32"/>
    </row>
    <row r="27" spans="2:26" ht="16.5" thickBot="1">
      <c r="B27" s="84" t="s">
        <v>114</v>
      </c>
      <c r="C27" s="94">
        <f>0.85*0.3*C22</f>
        <v>298.86</v>
      </c>
      <c r="D27" s="94">
        <f>0.85*0.3*D22</f>
        <v>376.89</v>
      </c>
      <c r="E27" s="95">
        <f t="shared" ref="E27:K27" si="6">0.85*0.3*E22</f>
        <v>441.91500000000002</v>
      </c>
      <c r="F27" s="95">
        <f t="shared" si="6"/>
        <v>506.94</v>
      </c>
      <c r="G27" s="95">
        <f t="shared" si="6"/>
        <v>571.96500000000003</v>
      </c>
      <c r="H27" s="95">
        <f t="shared" si="6"/>
        <v>649.74</v>
      </c>
      <c r="I27" s="95">
        <f t="shared" si="6"/>
        <v>714.76499999999999</v>
      </c>
      <c r="J27" s="95">
        <f t="shared" si="6"/>
        <v>779.79</v>
      </c>
      <c r="K27" s="96">
        <f t="shared" si="6"/>
        <v>857.82</v>
      </c>
      <c r="L27" s="97" t="s">
        <v>115</v>
      </c>
      <c r="M27" s="32"/>
    </row>
    <row r="28" spans="2:26" ht="16.5" thickBot="1">
      <c r="B28" s="98"/>
      <c r="C28" s="99"/>
      <c r="D28" s="100"/>
      <c r="E28" s="101"/>
      <c r="F28" s="101"/>
      <c r="G28" s="101"/>
      <c r="H28" s="101"/>
      <c r="I28" s="101"/>
      <c r="J28" s="101"/>
      <c r="K28" s="102"/>
      <c r="L28" s="32"/>
      <c r="M28" s="32"/>
    </row>
    <row r="29" spans="2:26" ht="15.75">
      <c r="B29" s="61" t="s">
        <v>116</v>
      </c>
      <c r="C29" s="68">
        <f>C26/C24</f>
        <v>3.9066666666666663</v>
      </c>
      <c r="D29" s="68">
        <f>D26/D24</f>
        <v>4.2228571428571424</v>
      </c>
      <c r="E29" s="69">
        <f t="shared" ref="E29:K29" si="7">E26/E24</f>
        <v>4.5208695652173914</v>
      </c>
      <c r="F29" s="69">
        <f t="shared" si="7"/>
        <v>4.5876923076923077</v>
      </c>
      <c r="G29" s="69">
        <f t="shared" si="7"/>
        <v>4.8064285714285715</v>
      </c>
      <c r="H29" s="69">
        <f t="shared" si="7"/>
        <v>5.0960000000000001</v>
      </c>
      <c r="I29" s="69">
        <f t="shared" si="7"/>
        <v>5.2556250000000002</v>
      </c>
      <c r="J29" s="69">
        <f t="shared" si="7"/>
        <v>5.3964705882352941</v>
      </c>
      <c r="K29" s="93">
        <f t="shared" si="7"/>
        <v>5.6066666666666665</v>
      </c>
      <c r="L29" s="32"/>
      <c r="M29" s="32"/>
    </row>
    <row r="30" spans="2:26" ht="16.5" thickBot="1">
      <c r="B30" s="84" t="s">
        <v>117</v>
      </c>
      <c r="C30" s="94">
        <f>C27/C24</f>
        <v>3.3206666666666669</v>
      </c>
      <c r="D30" s="94">
        <f>D27/D24</f>
        <v>3.5894285714285714</v>
      </c>
      <c r="E30" s="95">
        <f t="shared" ref="E30:K30" si="8">E27/E24</f>
        <v>3.8427391304347829</v>
      </c>
      <c r="F30" s="95">
        <f t="shared" si="8"/>
        <v>3.8995384615384614</v>
      </c>
      <c r="G30" s="95">
        <f t="shared" si="8"/>
        <v>4.085464285714286</v>
      </c>
      <c r="H30" s="95">
        <f t="shared" si="8"/>
        <v>4.3315999999999999</v>
      </c>
      <c r="I30" s="95">
        <f t="shared" si="8"/>
        <v>4.4672812500000001</v>
      </c>
      <c r="J30" s="95">
        <f t="shared" si="8"/>
        <v>4.5869999999999997</v>
      </c>
      <c r="K30" s="96">
        <f t="shared" si="8"/>
        <v>4.7656666666666672</v>
      </c>
      <c r="L30" s="32"/>
      <c r="M30" s="32"/>
    </row>
    <row r="31" spans="2:26" ht="16.5" thickBot="1">
      <c r="B31" s="98"/>
      <c r="C31" s="99"/>
      <c r="D31" s="103"/>
      <c r="E31" s="91"/>
      <c r="F31" s="91"/>
      <c r="G31" s="91"/>
      <c r="H31" s="91"/>
      <c r="I31" s="91"/>
      <c r="J31" s="91"/>
      <c r="K31" s="92"/>
      <c r="L31" s="32"/>
      <c r="M31" s="32"/>
    </row>
    <row r="32" spans="2:26" ht="15.75">
      <c r="B32" s="61" t="s">
        <v>118</v>
      </c>
      <c r="C32" s="68">
        <f>2.5*C24</f>
        <v>225</v>
      </c>
      <c r="D32" s="68">
        <f>2.5*D24</f>
        <v>262.5</v>
      </c>
      <c r="E32" s="69">
        <f t="shared" ref="E32:K32" si="9">2.5*E24</f>
        <v>287.5</v>
      </c>
      <c r="F32" s="69">
        <f t="shared" si="9"/>
        <v>325</v>
      </c>
      <c r="G32" s="69">
        <f t="shared" si="9"/>
        <v>350</v>
      </c>
      <c r="H32" s="69">
        <f t="shared" si="9"/>
        <v>375</v>
      </c>
      <c r="I32" s="69">
        <f t="shared" si="9"/>
        <v>400</v>
      </c>
      <c r="J32" s="69">
        <f t="shared" si="9"/>
        <v>425</v>
      </c>
      <c r="K32" s="93">
        <f t="shared" si="9"/>
        <v>450</v>
      </c>
      <c r="L32" s="32"/>
      <c r="M32" s="32"/>
    </row>
    <row r="33" spans="2:13" ht="16.5" thickBot="1">
      <c r="B33" s="84" t="s">
        <v>119</v>
      </c>
      <c r="C33" s="94">
        <f>3.5*C24</f>
        <v>315</v>
      </c>
      <c r="D33" s="94">
        <f>3.5*D24</f>
        <v>367.5</v>
      </c>
      <c r="E33" s="95">
        <f t="shared" ref="E33:K33" si="10">3.5*E24</f>
        <v>402.5</v>
      </c>
      <c r="F33" s="95">
        <f t="shared" si="10"/>
        <v>455</v>
      </c>
      <c r="G33" s="95">
        <f t="shared" si="10"/>
        <v>490</v>
      </c>
      <c r="H33" s="95">
        <f t="shared" si="10"/>
        <v>525</v>
      </c>
      <c r="I33" s="95">
        <f t="shared" si="10"/>
        <v>560</v>
      </c>
      <c r="J33" s="95">
        <f t="shared" si="10"/>
        <v>595</v>
      </c>
      <c r="K33" s="96">
        <f t="shared" si="10"/>
        <v>630</v>
      </c>
      <c r="L33" s="97" t="s">
        <v>120</v>
      </c>
      <c r="M33" s="32"/>
    </row>
    <row r="34" spans="2:13" ht="15.75">
      <c r="B34" s="32"/>
      <c r="C34" s="32"/>
      <c r="D34" s="104"/>
      <c r="E34" s="104"/>
      <c r="F34" s="104"/>
      <c r="G34" s="104"/>
      <c r="H34" s="104"/>
      <c r="I34" s="104"/>
      <c r="J34" s="104"/>
      <c r="K34" s="104"/>
      <c r="L34" s="32"/>
      <c r="M34" s="32"/>
    </row>
    <row r="35" spans="2:13" ht="15.75">
      <c r="B35" s="32"/>
      <c r="C35" s="32"/>
      <c r="D35" s="104"/>
      <c r="E35" s="104"/>
      <c r="F35" s="104"/>
      <c r="G35" s="104"/>
      <c r="H35" s="104"/>
      <c r="I35" s="104"/>
      <c r="J35" s="105" t="s">
        <v>121</v>
      </c>
      <c r="K35" s="104">
        <v>40</v>
      </c>
      <c r="L35" s="104" t="s">
        <v>2</v>
      </c>
      <c r="M35" s="32"/>
    </row>
    <row r="36" spans="2:13" ht="16.5" thickBot="1">
      <c r="B36" s="32"/>
      <c r="C36" s="32"/>
      <c r="D36" s="104"/>
      <c r="E36" s="104"/>
      <c r="F36" s="104"/>
      <c r="G36" s="104"/>
      <c r="H36" s="104"/>
      <c r="I36" s="104"/>
      <c r="J36" s="105" t="s">
        <v>122</v>
      </c>
      <c r="K36" s="104">
        <v>200</v>
      </c>
      <c r="L36" s="104" t="s">
        <v>2</v>
      </c>
      <c r="M36" s="32"/>
    </row>
    <row r="37" spans="2:13" ht="15.75">
      <c r="B37" s="61" t="s">
        <v>118</v>
      </c>
      <c r="C37" s="106"/>
      <c r="D37" s="107">
        <f t="shared" ref="D37:K38" si="11">D32*10*$K$35*$K$36/1000</f>
        <v>21000</v>
      </c>
      <c r="E37" s="107">
        <f t="shared" si="11"/>
        <v>23000</v>
      </c>
      <c r="F37" s="107">
        <f t="shared" si="11"/>
        <v>26000</v>
      </c>
      <c r="G37" s="107">
        <f t="shared" si="11"/>
        <v>28000</v>
      </c>
      <c r="H37" s="107">
        <f t="shared" si="11"/>
        <v>30000</v>
      </c>
      <c r="I37" s="107">
        <f t="shared" si="11"/>
        <v>32000</v>
      </c>
      <c r="J37" s="107">
        <f t="shared" si="11"/>
        <v>34000</v>
      </c>
      <c r="K37" s="107">
        <f t="shared" si="11"/>
        <v>36000</v>
      </c>
      <c r="L37" s="32" t="s">
        <v>123</v>
      </c>
      <c r="M37" s="32"/>
    </row>
    <row r="38" spans="2:13" ht="16.5" thickBot="1">
      <c r="B38" s="84" t="s">
        <v>119</v>
      </c>
      <c r="C38" s="108"/>
      <c r="D38" s="109">
        <f t="shared" si="11"/>
        <v>29400</v>
      </c>
      <c r="E38" s="109">
        <f t="shared" si="11"/>
        <v>32200</v>
      </c>
      <c r="F38" s="109">
        <f t="shared" si="11"/>
        <v>36400</v>
      </c>
      <c r="G38" s="109">
        <f t="shared" si="11"/>
        <v>39200</v>
      </c>
      <c r="H38" s="109">
        <f t="shared" si="11"/>
        <v>42000</v>
      </c>
      <c r="I38" s="109">
        <f t="shared" si="11"/>
        <v>44800</v>
      </c>
      <c r="J38" s="109">
        <f t="shared" si="11"/>
        <v>47600</v>
      </c>
      <c r="K38" s="109">
        <f t="shared" si="11"/>
        <v>50400</v>
      </c>
      <c r="L38" s="32" t="s">
        <v>123</v>
      </c>
      <c r="M38" s="32"/>
    </row>
    <row r="40" spans="2:13" ht="16.5" thickBot="1">
      <c r="B40" s="636" t="s">
        <v>805</v>
      </c>
      <c r="C40" s="636"/>
      <c r="D40" s="636"/>
      <c r="E40" s="636"/>
      <c r="F40" s="636"/>
      <c r="G40" s="636"/>
      <c r="H40" s="636"/>
      <c r="I40" s="636"/>
      <c r="J40" s="636"/>
      <c r="K40" s="636"/>
    </row>
    <row r="41" spans="2:13" ht="16.5" thickBot="1">
      <c r="B41" s="575" t="s">
        <v>100</v>
      </c>
      <c r="C41" s="90" t="s">
        <v>101</v>
      </c>
      <c r="D41" s="90" t="s">
        <v>45</v>
      </c>
      <c r="E41" s="90" t="s">
        <v>46</v>
      </c>
      <c r="F41" s="90" t="s">
        <v>47</v>
      </c>
      <c r="G41" s="90" t="s">
        <v>48</v>
      </c>
      <c r="H41" s="90" t="s">
        <v>102</v>
      </c>
      <c r="I41" s="90" t="s">
        <v>50</v>
      </c>
      <c r="J41" s="90" t="s">
        <v>103</v>
      </c>
      <c r="K41" s="576" t="s">
        <v>104</v>
      </c>
    </row>
    <row r="42" spans="2:13" ht="15.75">
      <c r="B42" s="573" t="s">
        <v>806</v>
      </c>
      <c r="C42" s="574">
        <v>15</v>
      </c>
      <c r="D42" s="574">
        <v>18.5</v>
      </c>
      <c r="E42" s="574">
        <v>22</v>
      </c>
      <c r="F42" s="574">
        <v>25.5</v>
      </c>
      <c r="G42" s="574">
        <v>29</v>
      </c>
      <c r="H42" s="574">
        <v>32</v>
      </c>
      <c r="I42" s="574">
        <v>36</v>
      </c>
      <c r="J42" s="574">
        <v>29.5</v>
      </c>
      <c r="K42" s="574">
        <v>43</v>
      </c>
    </row>
    <row r="43" spans="2:13" ht="15.75">
      <c r="B43" s="571" t="s">
        <v>807</v>
      </c>
      <c r="C43" s="572">
        <v>1.35</v>
      </c>
      <c r="D43" s="572">
        <v>1.55</v>
      </c>
      <c r="E43" s="572">
        <v>1.75</v>
      </c>
      <c r="F43" s="572">
        <v>1.95</v>
      </c>
      <c r="G43" s="572">
        <v>2.1</v>
      </c>
      <c r="H43" s="572">
        <v>2.25</v>
      </c>
      <c r="I43" s="572">
        <v>2.4500000000000002</v>
      </c>
      <c r="J43" s="572">
        <v>2.6</v>
      </c>
      <c r="K43" s="572">
        <v>2.75</v>
      </c>
    </row>
    <row r="44" spans="2:13" ht="15.75">
      <c r="B44" s="571" t="s">
        <v>808</v>
      </c>
      <c r="C44" s="572">
        <v>11.5</v>
      </c>
      <c r="D44" s="572">
        <v>14.5</v>
      </c>
      <c r="E44" s="572">
        <v>17</v>
      </c>
      <c r="F44" s="572">
        <v>19.5</v>
      </c>
      <c r="G44" s="572">
        <v>22</v>
      </c>
      <c r="H44" s="572">
        <v>25</v>
      </c>
      <c r="I44" s="572">
        <v>27.7</v>
      </c>
      <c r="J44" s="572">
        <v>30</v>
      </c>
      <c r="K44" s="572">
        <v>33</v>
      </c>
    </row>
    <row r="45" spans="2:13" ht="15.75">
      <c r="B45" s="571" t="s">
        <v>807</v>
      </c>
      <c r="C45" s="572">
        <v>0.9</v>
      </c>
      <c r="D45" s="572">
        <v>1.05</v>
      </c>
      <c r="E45" s="572">
        <v>1.1499999999999999</v>
      </c>
      <c r="F45" s="572">
        <v>1.3</v>
      </c>
      <c r="G45" s="572">
        <v>1.4</v>
      </c>
      <c r="H45" s="572">
        <v>1.5</v>
      </c>
      <c r="I45" s="572">
        <v>1.6</v>
      </c>
      <c r="J45" s="572">
        <v>1.7</v>
      </c>
      <c r="K45" s="572">
        <v>1.8</v>
      </c>
    </row>
    <row r="46" spans="2:13" ht="15.75">
      <c r="B46" s="571" t="s">
        <v>809</v>
      </c>
      <c r="C46" s="577">
        <f>ROUNDDOWN(C42*1.15,2)</f>
        <v>17.25</v>
      </c>
      <c r="D46" s="577">
        <f t="shared" ref="D46:K46" si="12">ROUNDDOWN(D42*1.15,2)</f>
        <v>21.27</v>
      </c>
      <c r="E46" s="577">
        <f t="shared" si="12"/>
        <v>25.3</v>
      </c>
      <c r="F46" s="577">
        <f t="shared" si="12"/>
        <v>29.32</v>
      </c>
      <c r="G46" s="577">
        <f t="shared" si="12"/>
        <v>33.35</v>
      </c>
      <c r="H46" s="577">
        <f t="shared" si="12"/>
        <v>36.799999999999997</v>
      </c>
      <c r="I46" s="577">
        <f t="shared" si="12"/>
        <v>41.4</v>
      </c>
      <c r="J46" s="577">
        <f t="shared" si="12"/>
        <v>33.92</v>
      </c>
      <c r="K46" s="577">
        <f t="shared" si="12"/>
        <v>49.45</v>
      </c>
    </row>
    <row r="47" spans="2:13" ht="15.75">
      <c r="B47" s="571" t="s">
        <v>810</v>
      </c>
      <c r="C47" s="577">
        <f t="shared" ref="C47" si="13">ROUNDDOWN(C43*1.15,2)</f>
        <v>1.55</v>
      </c>
      <c r="D47" s="577">
        <f t="shared" ref="D47:K47" si="14">ROUNDDOWN(D43*1.15,2)</f>
        <v>1.78</v>
      </c>
      <c r="E47" s="577">
        <f t="shared" si="14"/>
        <v>2.0099999999999998</v>
      </c>
      <c r="F47" s="577">
        <f t="shared" si="14"/>
        <v>2.2400000000000002</v>
      </c>
      <c r="G47" s="577">
        <f t="shared" si="14"/>
        <v>2.41</v>
      </c>
      <c r="H47" s="577">
        <f t="shared" si="14"/>
        <v>2.58</v>
      </c>
      <c r="I47" s="577">
        <f t="shared" si="14"/>
        <v>2.81</v>
      </c>
      <c r="J47" s="577">
        <f t="shared" si="14"/>
        <v>2.99</v>
      </c>
      <c r="K47" s="577">
        <f t="shared" si="14"/>
        <v>3.16</v>
      </c>
    </row>
    <row r="48" spans="2:13" ht="15.75">
      <c r="B48" s="571" t="s">
        <v>811</v>
      </c>
      <c r="C48" s="577">
        <f>C46</f>
        <v>17.25</v>
      </c>
      <c r="D48" s="577">
        <f t="shared" ref="D48:K48" si="15">D46</f>
        <v>21.27</v>
      </c>
      <c r="E48" s="577">
        <f t="shared" si="15"/>
        <v>25.3</v>
      </c>
      <c r="F48" s="577">
        <f t="shared" si="15"/>
        <v>29.32</v>
      </c>
      <c r="G48" s="577">
        <f t="shared" si="15"/>
        <v>33.35</v>
      </c>
      <c r="H48" s="577">
        <f t="shared" si="15"/>
        <v>36.799999999999997</v>
      </c>
      <c r="I48" s="577">
        <f t="shared" si="15"/>
        <v>41.4</v>
      </c>
      <c r="J48" s="577">
        <f t="shared" si="15"/>
        <v>33.92</v>
      </c>
      <c r="K48" s="577">
        <f t="shared" si="15"/>
        <v>49.45</v>
      </c>
    </row>
    <row r="49" spans="2:11" ht="15.75">
      <c r="B49" s="571" t="s">
        <v>810</v>
      </c>
      <c r="C49" s="577">
        <f>C47</f>
        <v>1.55</v>
      </c>
      <c r="D49" s="577">
        <f t="shared" ref="D49:K49" si="16">D47</f>
        <v>1.78</v>
      </c>
      <c r="E49" s="577">
        <f t="shared" si="16"/>
        <v>2.0099999999999998</v>
      </c>
      <c r="F49" s="577">
        <f t="shared" si="16"/>
        <v>2.2400000000000002</v>
      </c>
      <c r="G49" s="577">
        <f t="shared" si="16"/>
        <v>2.41</v>
      </c>
      <c r="H49" s="577">
        <f t="shared" si="16"/>
        <v>2.58</v>
      </c>
      <c r="I49" s="577">
        <f t="shared" si="16"/>
        <v>2.81</v>
      </c>
      <c r="J49" s="577">
        <f t="shared" si="16"/>
        <v>2.99</v>
      </c>
      <c r="K49" s="577">
        <f t="shared" si="16"/>
        <v>3.16</v>
      </c>
    </row>
  </sheetData>
  <mergeCells count="9">
    <mergeCell ref="B40:K40"/>
    <mergeCell ref="X3:Z3"/>
    <mergeCell ref="B15:K15"/>
    <mergeCell ref="I2:N2"/>
    <mergeCell ref="B2:G2"/>
    <mergeCell ref="B4:B5"/>
    <mergeCell ref="C4:C5"/>
    <mergeCell ref="J4:J5"/>
    <mergeCell ref="I4:I5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59"/>
  <sheetViews>
    <sheetView workbookViewId="0">
      <selection activeCell="H21" sqref="H21:H26"/>
    </sheetView>
  </sheetViews>
  <sheetFormatPr defaultRowHeight="15"/>
  <cols>
    <col min="2" max="2" width="25.28515625" style="541" customWidth="1"/>
    <col min="3" max="3" width="6" customWidth="1"/>
    <col min="4" max="4" width="7.140625" customWidth="1"/>
    <col min="5" max="5" width="32.5703125" style="541" customWidth="1"/>
    <col min="6" max="6" width="5.7109375" customWidth="1"/>
    <col min="7" max="7" width="5" customWidth="1"/>
    <col min="8" max="8" width="24.140625" customWidth="1"/>
    <col min="9" max="9" width="6" customWidth="1"/>
    <col min="10" max="10" width="5.7109375" customWidth="1"/>
    <col min="11" max="11" width="5.28515625" customWidth="1"/>
    <col min="12" max="12" width="24.140625" customWidth="1"/>
    <col min="13" max="14" width="6" customWidth="1"/>
    <col min="15" max="15" width="4.140625" style="6" customWidth="1"/>
  </cols>
  <sheetData>
    <row r="1" spans="2:32">
      <c r="B1" s="648" t="s">
        <v>756</v>
      </c>
      <c r="C1" s="648"/>
      <c r="D1" s="648"/>
      <c r="E1" s="648"/>
      <c r="H1" s="648" t="s">
        <v>757</v>
      </c>
      <c r="I1" s="648"/>
      <c r="J1" s="648"/>
      <c r="K1" s="648"/>
      <c r="L1" s="648"/>
      <c r="R1" t="s">
        <v>10</v>
      </c>
    </row>
    <row r="2" spans="2:32">
      <c r="B2" s="541" t="s">
        <v>693</v>
      </c>
      <c r="E2" s="541" t="s">
        <v>730</v>
      </c>
      <c r="H2" t="s">
        <v>758</v>
      </c>
    </row>
    <row r="4" spans="2:32" ht="15.75" thickBot="1">
      <c r="B4" s="554" t="s">
        <v>694</v>
      </c>
    </row>
    <row r="5" spans="2:32" ht="15.75" customHeight="1" thickBot="1">
      <c r="B5" s="555" t="s">
        <v>706</v>
      </c>
      <c r="D5" s="13" t="s">
        <v>791</v>
      </c>
      <c r="E5" s="556" t="s">
        <v>748</v>
      </c>
      <c r="H5" s="555" t="s">
        <v>894</v>
      </c>
      <c r="J5" s="13" t="s">
        <v>791</v>
      </c>
      <c r="L5" s="555" t="s">
        <v>911</v>
      </c>
      <c r="N5" s="13" t="s">
        <v>791</v>
      </c>
      <c r="Q5" s="613" t="s">
        <v>912</v>
      </c>
      <c r="R5" s="614"/>
      <c r="S5" s="13" t="s">
        <v>791</v>
      </c>
      <c r="U5" s="613" t="s">
        <v>912</v>
      </c>
      <c r="V5" s="614"/>
      <c r="W5" s="13" t="s">
        <v>791</v>
      </c>
      <c r="Y5" s="613" t="s">
        <v>913</v>
      </c>
      <c r="Z5" s="617"/>
      <c r="AA5" s="13" t="s">
        <v>791</v>
      </c>
      <c r="AD5" s="564" t="s">
        <v>912</v>
      </c>
      <c r="AE5" s="605"/>
      <c r="AF5" s="13" t="s">
        <v>791</v>
      </c>
    </row>
    <row r="6" spans="2:32" ht="15" customHeight="1">
      <c r="B6" s="541">
        <v>0</v>
      </c>
      <c r="C6" s="246"/>
      <c r="D6">
        <v>0</v>
      </c>
      <c r="E6" s="541">
        <v>0</v>
      </c>
      <c r="F6" s="246"/>
      <c r="H6" s="541">
        <v>0</v>
      </c>
      <c r="I6" s="246"/>
      <c r="J6">
        <v>0</v>
      </c>
      <c r="L6" s="541">
        <v>0</v>
      </c>
      <c r="M6" s="246"/>
      <c r="N6">
        <v>0</v>
      </c>
      <c r="Q6" s="541">
        <v>0</v>
      </c>
      <c r="R6" s="612"/>
      <c r="S6">
        <v>0</v>
      </c>
      <c r="U6" s="541">
        <v>0</v>
      </c>
      <c r="V6" s="615"/>
      <c r="W6" s="12">
        <v>0</v>
      </c>
      <c r="Y6" s="541">
        <v>0</v>
      </c>
      <c r="Z6" s="612"/>
      <c r="AA6">
        <v>0</v>
      </c>
      <c r="AD6" s="541">
        <v>0</v>
      </c>
      <c r="AE6" s="557"/>
      <c r="AF6" s="558">
        <v>0</v>
      </c>
    </row>
    <row r="7" spans="2:32">
      <c r="B7" s="541" t="s">
        <v>695</v>
      </c>
      <c r="C7" s="246"/>
      <c r="D7">
        <v>8.0500000000000007</v>
      </c>
      <c r="E7" s="541" t="s">
        <v>740</v>
      </c>
      <c r="F7" s="246"/>
      <c r="H7" s="541" t="s">
        <v>890</v>
      </c>
      <c r="I7" s="246"/>
      <c r="J7">
        <v>2.0099999999999998</v>
      </c>
      <c r="L7" s="541" t="s">
        <v>784</v>
      </c>
      <c r="M7" s="246"/>
      <c r="N7">
        <v>2.52</v>
      </c>
      <c r="Q7" s="541" t="s">
        <v>767</v>
      </c>
      <c r="R7" s="557"/>
      <c r="S7">
        <v>3.93</v>
      </c>
      <c r="U7" s="541" t="s">
        <v>784</v>
      </c>
      <c r="V7" s="570"/>
      <c r="W7" s="12">
        <v>2.5150000000000001</v>
      </c>
      <c r="Y7" s="541" t="s">
        <v>784</v>
      </c>
      <c r="Z7" s="557"/>
      <c r="AA7" s="12">
        <v>2.5150000000000001</v>
      </c>
      <c r="AD7" s="541" t="s">
        <v>767</v>
      </c>
      <c r="AE7" s="557"/>
      <c r="AF7" s="558">
        <v>3.9249999999999998</v>
      </c>
    </row>
    <row r="8" spans="2:32">
      <c r="B8" s="541" t="s">
        <v>696</v>
      </c>
      <c r="C8" s="247"/>
      <c r="D8">
        <v>16.09</v>
      </c>
      <c r="E8" s="541" t="s">
        <v>741</v>
      </c>
      <c r="F8" s="247"/>
      <c r="H8" s="541" t="s">
        <v>891</v>
      </c>
      <c r="I8" s="247"/>
      <c r="J8">
        <v>4.03</v>
      </c>
      <c r="L8" s="541" t="s">
        <v>901</v>
      </c>
      <c r="M8" s="247"/>
      <c r="N8">
        <v>5.03</v>
      </c>
      <c r="Q8" s="541" t="s">
        <v>761</v>
      </c>
      <c r="R8" s="559"/>
      <c r="S8">
        <v>5.66</v>
      </c>
      <c r="U8" s="541" t="s">
        <v>767</v>
      </c>
      <c r="V8" s="557"/>
      <c r="W8" s="12">
        <v>3.9249999999999998</v>
      </c>
      <c r="Y8" s="541" t="s">
        <v>767</v>
      </c>
      <c r="Z8" s="559"/>
      <c r="AA8" s="12">
        <v>3.9249999999999998</v>
      </c>
      <c r="AD8" s="541" t="s">
        <v>761</v>
      </c>
      <c r="AE8" s="559"/>
      <c r="AF8" s="558">
        <v>5.6550000000000002</v>
      </c>
    </row>
    <row r="9" spans="2:32">
      <c r="B9" s="541" t="s">
        <v>697</v>
      </c>
      <c r="C9" s="248"/>
      <c r="D9">
        <v>20.61</v>
      </c>
      <c r="E9" s="541" t="s">
        <v>742</v>
      </c>
      <c r="F9" s="248"/>
      <c r="H9" s="541" t="s">
        <v>907</v>
      </c>
      <c r="I9" s="248"/>
      <c r="J9">
        <v>5.15</v>
      </c>
      <c r="L9" s="541" t="s">
        <v>902</v>
      </c>
      <c r="M9" s="248"/>
      <c r="N9">
        <v>6.44</v>
      </c>
      <c r="Q9" s="541" t="s">
        <v>786</v>
      </c>
      <c r="R9" s="560"/>
      <c r="S9">
        <v>7.85</v>
      </c>
      <c r="U9" s="541" t="s">
        <v>761</v>
      </c>
      <c r="V9" s="559"/>
      <c r="W9" s="12">
        <v>5.6550000000000002</v>
      </c>
      <c r="Y9" s="541" t="s">
        <v>785</v>
      </c>
      <c r="Z9" s="560"/>
      <c r="AA9">
        <v>5.03</v>
      </c>
      <c r="AD9" s="541" t="s">
        <v>740</v>
      </c>
      <c r="AE9" s="560"/>
      <c r="AF9" s="558">
        <v>10.06</v>
      </c>
    </row>
    <row r="10" spans="2:32">
      <c r="B10" s="541" t="s">
        <v>698</v>
      </c>
      <c r="C10" s="249"/>
      <c r="D10">
        <v>24.13</v>
      </c>
      <c r="E10" s="541" t="s">
        <v>743</v>
      </c>
      <c r="F10" s="249"/>
      <c r="H10" s="541" t="s">
        <v>892</v>
      </c>
      <c r="I10" s="249"/>
      <c r="J10">
        <v>6.54</v>
      </c>
      <c r="L10" s="541" t="s">
        <v>903</v>
      </c>
      <c r="M10" s="249"/>
      <c r="N10">
        <v>8.17</v>
      </c>
      <c r="Q10" s="541" t="s">
        <v>740</v>
      </c>
      <c r="R10" s="561"/>
      <c r="S10">
        <v>10.06</v>
      </c>
      <c r="U10" s="541" t="s">
        <v>786</v>
      </c>
      <c r="V10" s="560"/>
      <c r="W10" s="12">
        <v>7.85</v>
      </c>
      <c r="Y10" s="541" t="s">
        <v>761</v>
      </c>
      <c r="Z10" s="561"/>
      <c r="AA10" s="12">
        <v>5.6550000000000002</v>
      </c>
      <c r="AD10" s="541" t="s">
        <v>762</v>
      </c>
      <c r="AE10" s="561"/>
      <c r="AF10" s="558">
        <v>11.31</v>
      </c>
    </row>
    <row r="11" spans="2:32">
      <c r="B11" s="541" t="s">
        <v>699</v>
      </c>
      <c r="C11" s="250"/>
      <c r="D11">
        <v>33.18</v>
      </c>
      <c r="E11" s="541" t="s">
        <v>744</v>
      </c>
      <c r="F11" s="250"/>
      <c r="H11" s="541" t="s">
        <v>908</v>
      </c>
      <c r="I11" s="250"/>
      <c r="J11">
        <v>8.2899999999999991</v>
      </c>
      <c r="K11" s="12"/>
      <c r="L11" s="541" t="s">
        <v>904</v>
      </c>
      <c r="M11" s="250"/>
      <c r="N11">
        <v>10.37</v>
      </c>
      <c r="Q11" s="541" t="s">
        <v>787</v>
      </c>
      <c r="R11" s="250"/>
      <c r="S11">
        <v>11.31</v>
      </c>
      <c r="U11" s="541" t="s">
        <v>740</v>
      </c>
      <c r="V11" s="561"/>
      <c r="W11" s="12">
        <v>10.06</v>
      </c>
      <c r="Y11" s="541" t="s">
        <v>786</v>
      </c>
      <c r="Z11" s="250"/>
      <c r="AA11" s="12">
        <v>7.85</v>
      </c>
      <c r="AD11" s="541" t="s">
        <v>741</v>
      </c>
      <c r="AE11" s="250"/>
      <c r="AF11" s="558">
        <v>20.11</v>
      </c>
    </row>
    <row r="12" spans="2:32">
      <c r="B12" s="541" t="s">
        <v>700</v>
      </c>
      <c r="C12" s="251"/>
      <c r="D12">
        <v>47.32</v>
      </c>
      <c r="E12" s="541" t="s">
        <v>745</v>
      </c>
      <c r="F12" s="251"/>
      <c r="H12" s="541" t="s">
        <v>895</v>
      </c>
      <c r="I12" s="251"/>
      <c r="J12">
        <v>11.06</v>
      </c>
      <c r="L12" s="541" t="s">
        <v>905</v>
      </c>
      <c r="M12" s="251"/>
      <c r="N12">
        <v>13.83</v>
      </c>
      <c r="Q12" s="541" t="s">
        <v>788</v>
      </c>
      <c r="R12" s="562"/>
      <c r="S12">
        <v>20.11</v>
      </c>
      <c r="U12" s="541" t="s">
        <v>787</v>
      </c>
      <c r="V12" s="250"/>
      <c r="W12" s="12">
        <v>11.31</v>
      </c>
      <c r="Y12" s="541" t="s">
        <v>740</v>
      </c>
      <c r="Z12" s="562"/>
      <c r="AA12" s="12">
        <v>10.06</v>
      </c>
      <c r="AD12" s="541" t="s">
        <v>742</v>
      </c>
      <c r="AE12" s="562"/>
      <c r="AF12" s="558">
        <v>25.77</v>
      </c>
    </row>
    <row r="13" spans="2:32">
      <c r="B13" s="541" t="s">
        <v>701</v>
      </c>
      <c r="C13" s="253"/>
      <c r="D13">
        <v>57.31</v>
      </c>
      <c r="E13" s="541" t="s">
        <v>746</v>
      </c>
      <c r="F13" s="253"/>
      <c r="H13" s="541" t="s">
        <v>893</v>
      </c>
      <c r="I13" s="253"/>
      <c r="J13">
        <v>18.100000000000001</v>
      </c>
      <c r="L13" s="541" t="s">
        <v>906</v>
      </c>
      <c r="M13" s="253"/>
      <c r="N13">
        <v>22.63</v>
      </c>
      <c r="Q13" s="541" t="s">
        <v>789</v>
      </c>
      <c r="R13" s="563"/>
      <c r="S13">
        <v>31.42</v>
      </c>
      <c r="U13" s="541" t="s">
        <v>788</v>
      </c>
      <c r="V13" s="562"/>
      <c r="W13" s="12">
        <v>20.11</v>
      </c>
      <c r="Y13" s="541" t="s">
        <v>787</v>
      </c>
      <c r="Z13" s="563"/>
      <c r="AA13" s="12">
        <v>11.31</v>
      </c>
      <c r="AD13" s="541" t="s">
        <v>744</v>
      </c>
      <c r="AE13" s="563"/>
      <c r="AF13" s="558">
        <v>34.6</v>
      </c>
    </row>
    <row r="14" spans="2:32">
      <c r="B14" s="541" t="s">
        <v>702</v>
      </c>
      <c r="C14" s="252"/>
      <c r="D14">
        <v>72.39</v>
      </c>
      <c r="E14" s="541" t="s">
        <v>747</v>
      </c>
      <c r="F14" s="252"/>
      <c r="I14" s="252"/>
      <c r="M14" s="252"/>
      <c r="Q14" s="541" t="s">
        <v>790</v>
      </c>
      <c r="R14" s="253"/>
      <c r="S14">
        <v>49.09</v>
      </c>
      <c r="U14" s="541" t="s">
        <v>789</v>
      </c>
      <c r="V14" s="563"/>
      <c r="W14" s="12">
        <v>31.42</v>
      </c>
      <c r="Y14" s="541" t="s">
        <v>788</v>
      </c>
      <c r="Z14" s="253"/>
      <c r="AA14" s="12">
        <v>20.11</v>
      </c>
      <c r="AD14" s="541" t="s">
        <v>733</v>
      </c>
      <c r="AE14" s="253"/>
      <c r="AF14" s="558">
        <v>40.26</v>
      </c>
    </row>
    <row r="15" spans="2:32">
      <c r="B15" s="541" t="s">
        <v>703</v>
      </c>
      <c r="U15" s="541" t="s">
        <v>790</v>
      </c>
      <c r="V15" s="253"/>
      <c r="W15" s="12">
        <v>49.09</v>
      </c>
    </row>
    <row r="16" spans="2:32">
      <c r="B16" s="541" t="s">
        <v>704</v>
      </c>
    </row>
    <row r="18" spans="2:27" ht="15.75" thickBot="1">
      <c r="B18" s="541" t="s">
        <v>685</v>
      </c>
    </row>
    <row r="19" spans="2:27" ht="15.75" thickBot="1">
      <c r="B19" s="556" t="s">
        <v>705</v>
      </c>
      <c r="D19" s="13" t="s">
        <v>791</v>
      </c>
      <c r="E19" s="556" t="s">
        <v>739</v>
      </c>
      <c r="H19" s="555" t="s">
        <v>759</v>
      </c>
      <c r="J19" s="13" t="s">
        <v>791</v>
      </c>
      <c r="L19" s="555" t="s">
        <v>760</v>
      </c>
      <c r="N19" s="13" t="s">
        <v>791</v>
      </c>
      <c r="Q19" s="646" t="s">
        <v>792</v>
      </c>
      <c r="R19" s="647"/>
      <c r="S19" s="13" t="s">
        <v>791</v>
      </c>
      <c r="U19" s="646" t="s">
        <v>792</v>
      </c>
      <c r="V19" s="647"/>
      <c r="W19" s="13" t="s">
        <v>791</v>
      </c>
      <c r="Y19" s="646" t="s">
        <v>792</v>
      </c>
      <c r="Z19" s="647"/>
      <c r="AA19" s="13" t="s">
        <v>791</v>
      </c>
    </row>
    <row r="20" spans="2:27">
      <c r="B20" s="541">
        <v>0</v>
      </c>
      <c r="C20" s="246"/>
      <c r="D20">
        <v>0</v>
      </c>
      <c r="E20" s="541">
        <v>0</v>
      </c>
      <c r="F20" s="246"/>
      <c r="H20" s="541">
        <v>0</v>
      </c>
      <c r="I20" s="246"/>
      <c r="J20">
        <v>0</v>
      </c>
      <c r="L20" s="541">
        <v>0</v>
      </c>
      <c r="M20" s="548"/>
      <c r="N20" s="12">
        <v>0</v>
      </c>
      <c r="Q20" s="541">
        <v>0</v>
      </c>
      <c r="R20" s="616"/>
      <c r="S20" s="558">
        <v>0</v>
      </c>
      <c r="U20" s="541">
        <v>0</v>
      </c>
      <c r="V20" s="616"/>
      <c r="Y20" s="541">
        <v>0</v>
      </c>
      <c r="Z20" s="615"/>
    </row>
    <row r="21" spans="2:27">
      <c r="B21" s="541" t="s">
        <v>686</v>
      </c>
      <c r="C21" s="246"/>
      <c r="D21">
        <v>12.57</v>
      </c>
      <c r="E21" s="541" t="s">
        <v>731</v>
      </c>
      <c r="F21" s="246"/>
      <c r="H21" s="541" t="s">
        <v>781</v>
      </c>
      <c r="I21" s="246"/>
      <c r="J21">
        <v>3.14</v>
      </c>
      <c r="L21" s="541" t="s">
        <v>767</v>
      </c>
      <c r="M21" s="548"/>
      <c r="N21" s="12">
        <v>3.9249999999999998</v>
      </c>
      <c r="Q21" s="541" t="s">
        <v>761</v>
      </c>
      <c r="R21" s="246"/>
      <c r="S21" s="558">
        <v>5.6550000000000002</v>
      </c>
      <c r="U21" s="541" t="s">
        <v>775</v>
      </c>
      <c r="V21" s="246"/>
      <c r="W21">
        <v>4.524</v>
      </c>
      <c r="Y21" s="541" t="s">
        <v>781</v>
      </c>
      <c r="Z21" s="570"/>
      <c r="AA21">
        <v>3.14</v>
      </c>
    </row>
    <row r="22" spans="2:27">
      <c r="B22" s="541" t="s">
        <v>687</v>
      </c>
      <c r="C22" s="247"/>
      <c r="D22">
        <v>25.14</v>
      </c>
      <c r="E22" s="541" t="s">
        <v>732</v>
      </c>
      <c r="F22" s="247"/>
      <c r="H22" s="541" t="s">
        <v>782</v>
      </c>
      <c r="I22" s="247"/>
      <c r="J22">
        <v>6.28</v>
      </c>
      <c r="L22" s="541" t="s">
        <v>768</v>
      </c>
      <c r="M22" s="549"/>
      <c r="N22" s="12">
        <v>7.85</v>
      </c>
      <c r="Q22" s="541" t="s">
        <v>740</v>
      </c>
      <c r="R22" s="247"/>
      <c r="S22" s="558">
        <v>10.06</v>
      </c>
      <c r="U22" s="541" t="s">
        <v>695</v>
      </c>
      <c r="V22" s="247"/>
      <c r="W22">
        <v>8.0440000000000005</v>
      </c>
      <c r="Y22" s="541" t="s">
        <v>775</v>
      </c>
      <c r="Z22" s="246"/>
      <c r="AA22">
        <v>4.524</v>
      </c>
    </row>
    <row r="23" spans="2:27">
      <c r="B23" s="541" t="s">
        <v>688</v>
      </c>
      <c r="C23" s="248"/>
      <c r="D23">
        <v>32.200000000000003</v>
      </c>
      <c r="E23" s="541" t="s">
        <v>733</v>
      </c>
      <c r="F23" s="248"/>
      <c r="H23" s="541" t="s">
        <v>909</v>
      </c>
      <c r="I23" s="248"/>
      <c r="J23">
        <v>7.66</v>
      </c>
      <c r="L23" s="541" t="s">
        <v>769</v>
      </c>
      <c r="M23" s="550"/>
      <c r="N23" s="12">
        <v>9.58</v>
      </c>
      <c r="Q23" s="541" t="s">
        <v>788</v>
      </c>
      <c r="R23" s="248"/>
      <c r="S23" s="558">
        <v>20.11</v>
      </c>
      <c r="U23" s="541" t="s">
        <v>686</v>
      </c>
      <c r="V23" s="248"/>
      <c r="W23">
        <v>12.57</v>
      </c>
      <c r="Y23" s="541" t="s">
        <v>695</v>
      </c>
      <c r="Z23" s="247"/>
      <c r="AA23">
        <v>8.0440000000000005</v>
      </c>
    </row>
    <row r="24" spans="2:27">
      <c r="B24" s="541" t="s">
        <v>689</v>
      </c>
      <c r="C24" s="249"/>
      <c r="D24">
        <v>37.700000000000003</v>
      </c>
      <c r="E24" s="541" t="s">
        <v>734</v>
      </c>
      <c r="F24" s="249"/>
      <c r="H24" s="541" t="s">
        <v>783</v>
      </c>
      <c r="I24" s="249"/>
      <c r="J24">
        <v>9.42</v>
      </c>
      <c r="L24" s="541" t="s">
        <v>770</v>
      </c>
      <c r="M24" s="551"/>
      <c r="N24" s="12">
        <v>11.78</v>
      </c>
      <c r="Q24" s="541" t="s">
        <v>789</v>
      </c>
      <c r="R24" s="249"/>
      <c r="S24" s="558">
        <v>31.42</v>
      </c>
      <c r="U24" s="541" t="s">
        <v>796</v>
      </c>
      <c r="V24" s="249"/>
      <c r="W24">
        <v>16.09</v>
      </c>
      <c r="Y24" s="541" t="s">
        <v>686</v>
      </c>
      <c r="Z24" s="248"/>
      <c r="AA24">
        <v>12.57</v>
      </c>
    </row>
    <row r="25" spans="2:27">
      <c r="B25" s="541" t="s">
        <v>690</v>
      </c>
      <c r="C25" s="250"/>
      <c r="D25">
        <v>44.74</v>
      </c>
      <c r="E25" s="541" t="s">
        <v>735</v>
      </c>
      <c r="F25" s="250"/>
      <c r="H25" s="541" t="s">
        <v>910</v>
      </c>
      <c r="I25" s="250"/>
      <c r="J25">
        <v>12.19</v>
      </c>
      <c r="L25" s="541" t="s">
        <v>771</v>
      </c>
      <c r="M25" s="552"/>
      <c r="N25" s="12">
        <v>15.24</v>
      </c>
      <c r="Q25" s="541" t="s">
        <v>790</v>
      </c>
      <c r="R25" s="250"/>
      <c r="S25" s="558">
        <v>49.09</v>
      </c>
      <c r="U25" s="541" t="s">
        <v>797</v>
      </c>
      <c r="V25" s="250"/>
      <c r="W25">
        <v>25.14</v>
      </c>
      <c r="Y25" s="541" t="s">
        <v>796</v>
      </c>
      <c r="Z25" s="249"/>
      <c r="AA25">
        <v>16.09</v>
      </c>
    </row>
    <row r="26" spans="2:27">
      <c r="B26" s="541" t="s">
        <v>691</v>
      </c>
      <c r="C26" s="251"/>
      <c r="D26">
        <v>76.91</v>
      </c>
      <c r="E26" s="541" t="s">
        <v>736</v>
      </c>
      <c r="F26" s="251"/>
      <c r="H26" s="541" t="s">
        <v>804</v>
      </c>
      <c r="I26" s="251"/>
      <c r="J26">
        <v>19.23</v>
      </c>
      <c r="L26" s="541" t="s">
        <v>772</v>
      </c>
      <c r="M26" s="553"/>
      <c r="N26" s="12">
        <v>24.03</v>
      </c>
      <c r="Q26" s="541" t="s">
        <v>793</v>
      </c>
      <c r="R26" s="251"/>
      <c r="S26" s="558">
        <v>64.58</v>
      </c>
      <c r="U26" s="541" t="s">
        <v>798</v>
      </c>
      <c r="V26" s="251"/>
      <c r="W26">
        <v>39.270000000000003</v>
      </c>
      <c r="Y26" s="541" t="s">
        <v>797</v>
      </c>
      <c r="Z26" s="250"/>
      <c r="AA26">
        <v>25.14</v>
      </c>
    </row>
    <row r="27" spans="2:27">
      <c r="B27" s="541" t="s">
        <v>692</v>
      </c>
      <c r="C27" s="253"/>
      <c r="D27">
        <v>109.1</v>
      </c>
      <c r="E27" s="541" t="s">
        <v>737</v>
      </c>
      <c r="F27" s="253"/>
      <c r="I27" s="253"/>
      <c r="M27" s="609"/>
      <c r="Q27" s="541" t="s">
        <v>794</v>
      </c>
      <c r="R27" s="253"/>
      <c r="S27" s="558">
        <v>80.430000000000007</v>
      </c>
      <c r="U27" s="541" t="s">
        <v>799</v>
      </c>
      <c r="V27" s="252"/>
      <c r="W27">
        <v>49.26</v>
      </c>
      <c r="Y27" s="541" t="s">
        <v>798</v>
      </c>
      <c r="Z27" s="251"/>
      <c r="AA27">
        <v>39.270000000000003</v>
      </c>
    </row>
    <row r="28" spans="2:27">
      <c r="E28" s="541" t="s">
        <v>738</v>
      </c>
      <c r="F28" s="252"/>
      <c r="I28" s="252"/>
      <c r="M28" s="610"/>
      <c r="Q28" s="541" t="s">
        <v>795</v>
      </c>
      <c r="R28" s="252"/>
      <c r="S28" s="558">
        <v>101.79</v>
      </c>
      <c r="U28" s="541" t="s">
        <v>800</v>
      </c>
      <c r="V28" s="253"/>
      <c r="W28">
        <v>64.34</v>
      </c>
      <c r="Y28" s="541" t="s">
        <v>799</v>
      </c>
      <c r="Z28" s="253"/>
      <c r="AA28">
        <v>49.26</v>
      </c>
    </row>
    <row r="29" spans="2:27" ht="15.75" thickBot="1">
      <c r="U29" s="541" t="s">
        <v>801</v>
      </c>
      <c r="V29" s="254"/>
      <c r="W29">
        <v>81.430000000000007</v>
      </c>
      <c r="Y29" s="541" t="s">
        <v>800</v>
      </c>
      <c r="Z29" s="252"/>
      <c r="AA29">
        <v>64.34</v>
      </c>
    </row>
    <row r="30" spans="2:27" ht="15.75" thickBot="1">
      <c r="B30" s="556" t="s">
        <v>729</v>
      </c>
      <c r="D30" s="13" t="s">
        <v>791</v>
      </c>
      <c r="E30" s="556" t="s">
        <v>755</v>
      </c>
      <c r="H30" s="555" t="s">
        <v>773</v>
      </c>
      <c r="L30" s="555" t="s">
        <v>774</v>
      </c>
      <c r="Y30" s="541" t="s">
        <v>801</v>
      </c>
      <c r="Z30" s="254"/>
    </row>
    <row r="31" spans="2:27">
      <c r="B31" s="541">
        <v>0</v>
      </c>
      <c r="C31" s="246"/>
      <c r="D31">
        <v>0</v>
      </c>
      <c r="E31" s="541">
        <v>0</v>
      </c>
      <c r="F31" s="246"/>
      <c r="H31" s="541">
        <v>0</v>
      </c>
      <c r="I31" s="246"/>
      <c r="J31">
        <v>0</v>
      </c>
      <c r="L31" s="541">
        <v>0</v>
      </c>
      <c r="M31" s="542"/>
      <c r="N31">
        <v>0</v>
      </c>
    </row>
    <row r="32" spans="2:27">
      <c r="B32" s="541" t="s">
        <v>722</v>
      </c>
      <c r="C32" s="246"/>
      <c r="D32">
        <v>19.64</v>
      </c>
      <c r="E32" s="541" t="s">
        <v>749</v>
      </c>
      <c r="F32" s="246"/>
      <c r="H32" s="541" t="s">
        <v>775</v>
      </c>
      <c r="I32" s="246"/>
      <c r="J32">
        <v>4.42</v>
      </c>
      <c r="L32" s="541" t="s">
        <v>761</v>
      </c>
      <c r="M32" s="542"/>
      <c r="N32">
        <v>5.6550000000000002</v>
      </c>
    </row>
    <row r="33" spans="2:14">
      <c r="B33" s="541" t="s">
        <v>723</v>
      </c>
      <c r="C33" s="247"/>
      <c r="D33">
        <v>39.270000000000003</v>
      </c>
      <c r="E33" s="541" t="s">
        <v>750</v>
      </c>
      <c r="F33" s="247"/>
      <c r="H33" s="541" t="s">
        <v>776</v>
      </c>
      <c r="I33" s="247"/>
      <c r="J33">
        <v>9.0500000000000007</v>
      </c>
      <c r="L33" s="541" t="s">
        <v>762</v>
      </c>
      <c r="M33" s="543"/>
      <c r="N33">
        <v>11.31</v>
      </c>
    </row>
    <row r="34" spans="2:14">
      <c r="B34" s="541" t="s">
        <v>724</v>
      </c>
      <c r="C34" s="248"/>
      <c r="D34">
        <v>44.27</v>
      </c>
      <c r="E34" s="541" t="s">
        <v>751</v>
      </c>
      <c r="F34" s="248"/>
      <c r="H34" s="541" t="s">
        <v>777</v>
      </c>
      <c r="I34" s="248"/>
      <c r="J34">
        <v>12.57</v>
      </c>
      <c r="L34" s="541" t="s">
        <v>763</v>
      </c>
      <c r="M34" s="544"/>
      <c r="N34">
        <v>15.71</v>
      </c>
    </row>
    <row r="35" spans="2:14">
      <c r="B35" s="541" t="s">
        <v>725</v>
      </c>
      <c r="C35" s="249"/>
      <c r="D35">
        <v>51.81</v>
      </c>
      <c r="E35" s="541" t="s">
        <v>752</v>
      </c>
      <c r="F35" s="249"/>
      <c r="H35" s="541" t="s">
        <v>778</v>
      </c>
      <c r="I35" s="249"/>
      <c r="J35">
        <v>13.57</v>
      </c>
      <c r="L35" s="541" t="s">
        <v>764</v>
      </c>
      <c r="M35" s="545"/>
      <c r="N35">
        <v>16.97</v>
      </c>
    </row>
    <row r="36" spans="2:14">
      <c r="B36" s="541" t="s">
        <v>726</v>
      </c>
      <c r="C36" s="250"/>
      <c r="D36">
        <v>58.91</v>
      </c>
      <c r="E36" s="541" t="s">
        <v>753</v>
      </c>
      <c r="F36" s="250"/>
      <c r="H36" s="541" t="s">
        <v>779</v>
      </c>
      <c r="I36" s="250"/>
      <c r="J36">
        <v>20.61</v>
      </c>
      <c r="L36" s="541" t="s">
        <v>765</v>
      </c>
      <c r="M36" s="546"/>
      <c r="N36">
        <v>25.77</v>
      </c>
    </row>
    <row r="37" spans="2:14">
      <c r="B37" s="541" t="s">
        <v>727</v>
      </c>
      <c r="C37" s="251"/>
      <c r="D37">
        <v>83.98</v>
      </c>
      <c r="E37" s="541" t="s">
        <v>754</v>
      </c>
      <c r="F37" s="251"/>
      <c r="H37" s="541" t="s">
        <v>780</v>
      </c>
      <c r="I37" s="251"/>
      <c r="J37">
        <v>29.66</v>
      </c>
      <c r="L37" s="541" t="s">
        <v>766</v>
      </c>
      <c r="M37" s="547"/>
      <c r="N37">
        <v>37.08</v>
      </c>
    </row>
    <row r="38" spans="2:14">
      <c r="B38" s="541" t="s">
        <v>728</v>
      </c>
      <c r="C38" s="253"/>
      <c r="D38">
        <v>116.2</v>
      </c>
      <c r="F38" s="253"/>
      <c r="H38" s="541"/>
      <c r="I38" s="253"/>
      <c r="L38" s="541"/>
      <c r="M38" s="611"/>
    </row>
    <row r="39" spans="2:14">
      <c r="C39" s="252"/>
      <c r="F39" s="252"/>
      <c r="H39" s="541"/>
      <c r="I39" s="252"/>
      <c r="M39" s="252"/>
    </row>
    <row r="40" spans="2:14" ht="15.75" thickBot="1"/>
    <row r="41" spans="2:14" ht="15.75" thickBot="1">
      <c r="B41" s="555" t="s">
        <v>720</v>
      </c>
      <c r="E41" s="556" t="s">
        <v>925</v>
      </c>
    </row>
    <row r="42" spans="2:14">
      <c r="B42" s="541">
        <v>0</v>
      </c>
      <c r="C42" s="246"/>
      <c r="D42">
        <v>0</v>
      </c>
      <c r="E42" s="541">
        <v>0</v>
      </c>
      <c r="F42" s="246"/>
    </row>
    <row r="43" spans="2:14">
      <c r="B43" s="541" t="s">
        <v>714</v>
      </c>
      <c r="C43" s="246"/>
      <c r="D43">
        <v>24.63</v>
      </c>
      <c r="E43" s="541" t="s">
        <v>926</v>
      </c>
      <c r="F43" s="246"/>
    </row>
    <row r="44" spans="2:14">
      <c r="B44" s="541" t="s">
        <v>715</v>
      </c>
      <c r="C44" s="247"/>
      <c r="D44">
        <v>49.26</v>
      </c>
      <c r="E44" s="541" t="s">
        <v>927</v>
      </c>
      <c r="F44" s="247"/>
    </row>
    <row r="45" spans="2:14">
      <c r="B45" s="541" t="s">
        <v>716</v>
      </c>
      <c r="C45" s="248"/>
      <c r="D45">
        <v>56.8</v>
      </c>
      <c r="E45" s="541" t="s">
        <v>928</v>
      </c>
      <c r="F45" s="248"/>
    </row>
    <row r="46" spans="2:14">
      <c r="B46" s="541" t="s">
        <v>717</v>
      </c>
      <c r="C46" s="249"/>
      <c r="D46">
        <v>65.349999999999994</v>
      </c>
      <c r="E46" s="541" t="s">
        <v>929</v>
      </c>
      <c r="F46" s="249"/>
    </row>
    <row r="47" spans="2:14">
      <c r="B47" s="541" t="s">
        <v>718</v>
      </c>
      <c r="C47" s="250"/>
      <c r="D47">
        <v>106.1</v>
      </c>
      <c r="E47" s="541" t="s">
        <v>930</v>
      </c>
      <c r="F47" s="250"/>
    </row>
    <row r="48" spans="2:14">
      <c r="B48" s="541" t="s">
        <v>719</v>
      </c>
      <c r="C48" s="251"/>
      <c r="D48">
        <v>146.80000000000001</v>
      </c>
      <c r="E48" s="541" t="s">
        <v>931</v>
      </c>
      <c r="F48" s="251"/>
    </row>
    <row r="49" spans="2:6">
      <c r="B49" s="541" t="s">
        <v>711</v>
      </c>
      <c r="C49" s="253"/>
      <c r="D49">
        <v>154.30000000000001</v>
      </c>
      <c r="E49" s="541" t="s">
        <v>932</v>
      </c>
      <c r="F49" s="253"/>
    </row>
    <row r="50" spans="2:6" ht="15.75" thickBot="1">
      <c r="F50" s="252"/>
    </row>
    <row r="51" spans="2:6" ht="15.75" thickBot="1">
      <c r="B51" s="555" t="s">
        <v>721</v>
      </c>
    </row>
    <row r="52" spans="2:6">
      <c r="B52" s="541">
        <v>0</v>
      </c>
      <c r="C52" s="246"/>
      <c r="D52">
        <v>0</v>
      </c>
    </row>
    <row r="53" spans="2:6">
      <c r="B53" s="541" t="s">
        <v>707</v>
      </c>
      <c r="C53" s="246"/>
      <c r="D53">
        <v>32.17</v>
      </c>
    </row>
    <row r="54" spans="2:6">
      <c r="B54" s="541" t="s">
        <v>708</v>
      </c>
      <c r="C54" s="247"/>
      <c r="D54">
        <v>64.34</v>
      </c>
    </row>
    <row r="55" spans="2:6">
      <c r="B55" s="541" t="s">
        <v>709</v>
      </c>
      <c r="C55" s="248"/>
      <c r="D55">
        <v>72.89</v>
      </c>
    </row>
    <row r="56" spans="2:6">
      <c r="B56" s="541" t="s">
        <v>710</v>
      </c>
      <c r="C56" s="249"/>
      <c r="D56">
        <v>113.6</v>
      </c>
    </row>
    <row r="57" spans="2:6">
      <c r="B57" s="541" t="s">
        <v>711</v>
      </c>
      <c r="C57" s="250"/>
      <c r="D57">
        <v>154.30000000000001</v>
      </c>
    </row>
    <row r="58" spans="2:6">
      <c r="B58" s="541" t="s">
        <v>712</v>
      </c>
      <c r="C58" s="251"/>
      <c r="D58">
        <v>195</v>
      </c>
    </row>
    <row r="59" spans="2:6">
      <c r="B59" s="541" t="s">
        <v>713</v>
      </c>
      <c r="C59" s="253"/>
      <c r="D59">
        <v>235.8</v>
      </c>
    </row>
  </sheetData>
  <mergeCells count="5">
    <mergeCell ref="Y19:Z19"/>
    <mergeCell ref="Q19:R19"/>
    <mergeCell ref="U19:V19"/>
    <mergeCell ref="B1:E1"/>
    <mergeCell ref="H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04"/>
  <sheetViews>
    <sheetView topLeftCell="B16" zoomScaleNormal="100" workbookViewId="0">
      <selection activeCell="AL20" sqref="AL20"/>
    </sheetView>
  </sheetViews>
  <sheetFormatPr defaultColWidth="14.42578125" defaultRowHeight="15" customHeight="1"/>
  <cols>
    <col min="1" max="8" width="8.7109375" style="257" customWidth="1"/>
    <col min="9" max="9" width="9.140625" style="257" customWidth="1"/>
    <col min="10" max="13" width="8.7109375" style="257" customWidth="1"/>
    <col min="14" max="14" width="9.42578125" style="257" customWidth="1"/>
    <col min="15" max="18" width="8.7109375" style="257" customWidth="1"/>
    <col min="19" max="19" width="9.5703125" style="257" customWidth="1"/>
    <col min="20" max="30" width="8.7109375" style="257" customWidth="1"/>
    <col min="31" max="31" width="7.5703125" style="257" customWidth="1"/>
    <col min="32" max="37" width="9.42578125" style="257" customWidth="1"/>
    <col min="38" max="16384" width="14.42578125" style="257"/>
  </cols>
  <sheetData>
    <row r="1" spans="2:53" ht="15.75">
      <c r="C1" s="334" t="s">
        <v>21</v>
      </c>
    </row>
    <row r="2" spans="2:53" ht="15.75">
      <c r="C2" s="334"/>
    </row>
    <row r="3" spans="2:53" ht="15.75">
      <c r="C3" s="334" t="s">
        <v>22</v>
      </c>
      <c r="AE3"/>
      <c r="AP3"/>
      <c r="AQ3"/>
      <c r="AR3"/>
      <c r="AS3"/>
      <c r="AT3"/>
      <c r="AU3"/>
      <c r="AV3"/>
      <c r="AW3"/>
      <c r="AX3"/>
      <c r="AY3"/>
      <c r="AZ3"/>
      <c r="BA3"/>
    </row>
    <row r="4" spans="2:53" ht="15" customHeight="1" thickBot="1">
      <c r="AP4"/>
      <c r="AQ4"/>
      <c r="AR4"/>
      <c r="AS4"/>
      <c r="AT4"/>
      <c r="AU4"/>
      <c r="AV4"/>
      <c r="AW4"/>
      <c r="AX4"/>
      <c r="AY4"/>
      <c r="AZ4"/>
      <c r="BA4"/>
    </row>
    <row r="5" spans="2:53">
      <c r="I5" s="308"/>
      <c r="J5" s="333"/>
      <c r="K5" s="333"/>
      <c r="L5" s="332"/>
      <c r="N5" s="308"/>
      <c r="O5" s="333"/>
      <c r="P5" s="333"/>
      <c r="Q5" s="332"/>
      <c r="S5" s="308"/>
      <c r="T5" s="333"/>
      <c r="U5" s="333"/>
      <c r="V5" s="332"/>
      <c r="X5" s="308"/>
      <c r="Y5" s="333"/>
      <c r="Z5" s="333"/>
      <c r="AA5" s="332"/>
      <c r="AB5" s="276"/>
      <c r="AC5" s="526"/>
      <c r="AD5" s="527"/>
      <c r="AE5" s="4"/>
      <c r="AF5" s="527"/>
      <c r="AG5" s="527"/>
      <c r="AH5" s="527"/>
      <c r="AI5" s="527"/>
      <c r="AJ5" s="528"/>
      <c r="AP5"/>
      <c r="AQ5"/>
      <c r="AR5"/>
      <c r="AS5"/>
      <c r="AT5"/>
      <c r="AU5"/>
      <c r="AV5"/>
      <c r="AW5"/>
      <c r="AX5"/>
      <c r="AY5"/>
      <c r="AZ5"/>
      <c r="BA5"/>
    </row>
    <row r="6" spans="2:53">
      <c r="B6" s="281" t="s">
        <v>29</v>
      </c>
      <c r="C6" s="331" t="s">
        <v>30</v>
      </c>
      <c r="I6" s="315" t="s">
        <v>10</v>
      </c>
      <c r="J6" s="276"/>
      <c r="K6" s="276"/>
      <c r="L6" s="275"/>
      <c r="N6" s="315" t="s">
        <v>11</v>
      </c>
      <c r="O6" s="276"/>
      <c r="P6" s="276"/>
      <c r="Q6" s="275"/>
      <c r="S6" s="315" t="s">
        <v>14</v>
      </c>
      <c r="T6" s="276"/>
      <c r="U6" s="276"/>
      <c r="V6" s="275"/>
      <c r="X6" s="315" t="s">
        <v>39</v>
      </c>
      <c r="Y6" s="276"/>
      <c r="Z6" s="276"/>
      <c r="AA6" s="275"/>
      <c r="AB6" s="276"/>
      <c r="AC6" s="529" t="s">
        <v>684</v>
      </c>
      <c r="AE6" s="530"/>
      <c r="AF6"/>
      <c r="AG6"/>
      <c r="AH6"/>
      <c r="AI6"/>
      <c r="AJ6" s="6"/>
      <c r="AK6"/>
      <c r="AL6"/>
      <c r="AP6"/>
      <c r="AQ6"/>
      <c r="AR6"/>
      <c r="AS6"/>
      <c r="AT6"/>
      <c r="AU6"/>
      <c r="AV6"/>
      <c r="AW6"/>
      <c r="AX6"/>
      <c r="AY6"/>
      <c r="AZ6"/>
      <c r="BA6"/>
    </row>
    <row r="7" spans="2:53">
      <c r="I7" s="315" t="s">
        <v>15</v>
      </c>
      <c r="J7" s="276"/>
      <c r="K7" s="276"/>
      <c r="L7" s="275"/>
      <c r="N7" s="315" t="s">
        <v>12</v>
      </c>
      <c r="O7" s="276"/>
      <c r="P7" s="276"/>
      <c r="Q7" s="275"/>
      <c r="S7" s="315" t="s">
        <v>15</v>
      </c>
      <c r="T7" s="276"/>
      <c r="U7" s="276"/>
      <c r="V7" s="275"/>
      <c r="X7" s="315"/>
      <c r="Y7" s="276"/>
      <c r="Z7" s="276"/>
      <c r="AA7" s="275"/>
      <c r="AB7" s="276"/>
      <c r="AC7" s="7"/>
      <c r="AD7"/>
      <c r="AE7"/>
      <c r="AF7"/>
      <c r="AG7"/>
      <c r="AH7"/>
      <c r="AI7"/>
      <c r="AJ7" s="6"/>
      <c r="AK7"/>
      <c r="AL7"/>
      <c r="AP7"/>
      <c r="AQ7"/>
      <c r="AR7"/>
      <c r="AS7"/>
      <c r="AT7"/>
      <c r="AU7"/>
      <c r="AV7"/>
      <c r="AW7"/>
      <c r="AX7"/>
      <c r="AY7"/>
      <c r="AZ7"/>
      <c r="BA7"/>
    </row>
    <row r="8" spans="2:53">
      <c r="B8" s="323" t="s">
        <v>32</v>
      </c>
      <c r="C8" s="331" t="s">
        <v>31</v>
      </c>
      <c r="I8" s="278" t="s">
        <v>3</v>
      </c>
      <c r="J8" s="281">
        <v>300</v>
      </c>
      <c r="K8" s="276" t="s">
        <v>2</v>
      </c>
      <c r="L8" s="275"/>
      <c r="N8" s="315"/>
      <c r="O8" s="276"/>
      <c r="P8" s="276"/>
      <c r="Q8" s="275"/>
      <c r="S8" s="278" t="s">
        <v>3</v>
      </c>
      <c r="T8" s="281">
        <v>300</v>
      </c>
      <c r="U8" s="276" t="s">
        <v>2</v>
      </c>
      <c r="V8" s="275"/>
      <c r="X8" s="315"/>
      <c r="Y8" s="276"/>
      <c r="Z8" s="276"/>
      <c r="AA8" s="275"/>
      <c r="AB8" s="276"/>
      <c r="AC8" s="540" t="s">
        <v>1</v>
      </c>
      <c r="AD8" s="281">
        <v>1300</v>
      </c>
      <c r="AE8" s="28" t="s">
        <v>90</v>
      </c>
      <c r="AF8"/>
      <c r="AG8"/>
      <c r="AH8"/>
      <c r="AI8"/>
      <c r="AJ8" s="6"/>
      <c r="AK8"/>
      <c r="AL8"/>
      <c r="AP8"/>
      <c r="AQ8"/>
      <c r="AR8"/>
      <c r="AS8"/>
      <c r="AT8"/>
      <c r="AU8"/>
      <c r="AV8"/>
      <c r="AW8"/>
      <c r="AX8"/>
      <c r="AY8"/>
      <c r="AZ8"/>
      <c r="BA8"/>
    </row>
    <row r="9" spans="2:53">
      <c r="I9" s="278" t="s">
        <v>4</v>
      </c>
      <c r="J9" s="285">
        <f>J8*0.8</f>
        <v>240</v>
      </c>
      <c r="K9" s="276" t="s">
        <v>2</v>
      </c>
      <c r="L9" s="275"/>
      <c r="N9" s="315"/>
      <c r="O9" s="276"/>
      <c r="P9" s="276"/>
      <c r="Q9" s="275"/>
      <c r="S9" s="278" t="s">
        <v>4</v>
      </c>
      <c r="T9" s="285">
        <f>T8*0.8</f>
        <v>240</v>
      </c>
      <c r="U9" s="276" t="s">
        <v>2</v>
      </c>
      <c r="V9" s="275"/>
      <c r="X9" s="315"/>
      <c r="Y9" s="276"/>
      <c r="Z9" s="276"/>
      <c r="AA9" s="275"/>
      <c r="AB9" s="276"/>
      <c r="AC9" s="540" t="s">
        <v>0</v>
      </c>
      <c r="AD9" s="281">
        <v>700</v>
      </c>
      <c r="AE9" s="28" t="s">
        <v>90</v>
      </c>
      <c r="AF9"/>
      <c r="AG9"/>
      <c r="AH9"/>
      <c r="AI9"/>
      <c r="AJ9" s="6"/>
      <c r="AK9"/>
      <c r="AL9"/>
      <c r="AP9"/>
      <c r="AQ9"/>
      <c r="AR9"/>
      <c r="AS9"/>
      <c r="AT9"/>
      <c r="AU9"/>
      <c r="AV9"/>
      <c r="AW9"/>
      <c r="AX9"/>
      <c r="AY9"/>
      <c r="AZ9"/>
      <c r="BA9"/>
    </row>
    <row r="10" spans="2:53">
      <c r="C10" s="656" t="s">
        <v>40</v>
      </c>
      <c r="D10" s="653"/>
      <c r="E10" s="653"/>
      <c r="F10" s="654"/>
      <c r="I10" s="278"/>
      <c r="J10" s="285"/>
      <c r="K10" s="276"/>
      <c r="L10" s="275"/>
      <c r="N10" s="315"/>
      <c r="O10" s="276"/>
      <c r="P10" s="276"/>
      <c r="Q10" s="275"/>
      <c r="S10" s="278"/>
      <c r="T10" s="285"/>
      <c r="U10" s="276"/>
      <c r="V10" s="275"/>
      <c r="X10" s="315"/>
      <c r="Y10" s="276"/>
      <c r="Z10" s="276"/>
      <c r="AA10" s="275"/>
      <c r="AB10" s="276"/>
      <c r="AC10" s="540" t="s">
        <v>91</v>
      </c>
      <c r="AD10" s="281">
        <v>70</v>
      </c>
      <c r="AE10" s="28" t="s">
        <v>90</v>
      </c>
      <c r="AF10"/>
      <c r="AG10"/>
      <c r="AH10"/>
      <c r="AI10"/>
      <c r="AJ10" s="6"/>
      <c r="AK10"/>
      <c r="AL10"/>
      <c r="AP10"/>
      <c r="AQ10"/>
      <c r="AR10"/>
      <c r="AS10"/>
      <c r="AT10"/>
      <c r="AU10"/>
      <c r="AV10"/>
      <c r="AW10"/>
      <c r="AX10"/>
      <c r="AY10"/>
      <c r="AZ10"/>
      <c r="BA10"/>
    </row>
    <row r="11" spans="2:53">
      <c r="C11" s="277">
        <v>8</v>
      </c>
      <c r="D11" s="277">
        <v>5</v>
      </c>
      <c r="E11" s="277">
        <v>4</v>
      </c>
      <c r="F11" s="277">
        <v>3.33</v>
      </c>
      <c r="I11" s="278" t="s">
        <v>0</v>
      </c>
      <c r="J11" s="281">
        <v>100</v>
      </c>
      <c r="K11" s="276" t="s">
        <v>2</v>
      </c>
      <c r="L11" s="275"/>
      <c r="N11" s="278" t="s">
        <v>0</v>
      </c>
      <c r="O11" s="281">
        <v>100</v>
      </c>
      <c r="P11" s="276" t="s">
        <v>2</v>
      </c>
      <c r="Q11" s="275"/>
      <c r="S11" s="278" t="s">
        <v>0</v>
      </c>
      <c r="T11" s="281">
        <v>100</v>
      </c>
      <c r="U11" s="276" t="s">
        <v>2</v>
      </c>
      <c r="V11" s="275"/>
      <c r="X11" s="278" t="s">
        <v>0</v>
      </c>
      <c r="Y11" s="281">
        <v>100</v>
      </c>
      <c r="Z11" s="276" t="s">
        <v>2</v>
      </c>
      <c r="AA11" s="275"/>
      <c r="AB11" s="276"/>
      <c r="AC11" s="540" t="s">
        <v>95</v>
      </c>
      <c r="AD11" s="28">
        <f>AD9-AD10</f>
        <v>630</v>
      </c>
      <c r="AE11" s="28" t="s">
        <v>90</v>
      </c>
      <c r="AF11"/>
      <c r="AG11"/>
      <c r="AH11"/>
      <c r="AI11"/>
      <c r="AJ11" s="6"/>
      <c r="AK11"/>
      <c r="AL11"/>
      <c r="AP11"/>
      <c r="AQ11"/>
      <c r="AR11"/>
      <c r="AS11"/>
      <c r="AT11"/>
      <c r="AU11"/>
      <c r="AV11"/>
      <c r="AW11"/>
      <c r="AX11"/>
      <c r="AY11"/>
      <c r="AZ11"/>
      <c r="BA11"/>
    </row>
    <row r="12" spans="2:53">
      <c r="C12" s="656" t="s">
        <v>13</v>
      </c>
      <c r="D12" s="653"/>
      <c r="E12" s="653"/>
      <c r="F12" s="654"/>
      <c r="I12" s="278" t="s">
        <v>1</v>
      </c>
      <c r="J12" s="281">
        <v>30</v>
      </c>
      <c r="K12" s="276" t="s">
        <v>2</v>
      </c>
      <c r="L12" s="275"/>
      <c r="N12" s="278" t="s">
        <v>1</v>
      </c>
      <c r="O12" s="281">
        <v>120</v>
      </c>
      <c r="P12" s="276" t="s">
        <v>2</v>
      </c>
      <c r="Q12" s="275"/>
      <c r="S12" s="278" t="s">
        <v>1</v>
      </c>
      <c r="T12" s="281">
        <v>20</v>
      </c>
      <c r="U12" s="276" t="s">
        <v>2</v>
      </c>
      <c r="V12" s="275"/>
      <c r="X12" s="278" t="s">
        <v>1</v>
      </c>
      <c r="Y12" s="281">
        <v>160</v>
      </c>
      <c r="Z12" s="276" t="s">
        <v>2</v>
      </c>
      <c r="AA12" s="275"/>
      <c r="AB12" s="276"/>
      <c r="AC12" s="540" t="s">
        <v>94</v>
      </c>
      <c r="AD12" s="28">
        <f>AD8-AD10</f>
        <v>1230</v>
      </c>
      <c r="AE12" s="28" t="s">
        <v>90</v>
      </c>
      <c r="AF12"/>
      <c r="AG12"/>
      <c r="AH12"/>
      <c r="AI12"/>
      <c r="AJ12" s="6"/>
      <c r="AK12"/>
      <c r="AL12"/>
      <c r="AP12"/>
      <c r="AQ12"/>
      <c r="AR12"/>
      <c r="AS12"/>
      <c r="AT12"/>
      <c r="AU12"/>
      <c r="AV12"/>
      <c r="AW12"/>
      <c r="AX12"/>
      <c r="AY12"/>
      <c r="AZ12"/>
      <c r="BA12"/>
    </row>
    <row r="13" spans="2:53" ht="18.75" thickBot="1">
      <c r="C13" s="314">
        <v>125</v>
      </c>
      <c r="D13" s="314">
        <v>200</v>
      </c>
      <c r="E13" s="314">
        <v>250</v>
      </c>
      <c r="F13" s="314">
        <v>300</v>
      </c>
      <c r="I13" s="278" t="s">
        <v>289</v>
      </c>
      <c r="J13" s="281">
        <v>5</v>
      </c>
      <c r="K13" s="276" t="s">
        <v>2</v>
      </c>
      <c r="L13" s="275"/>
      <c r="N13" s="278" t="s">
        <v>127</v>
      </c>
      <c r="O13" s="281">
        <v>5</v>
      </c>
      <c r="P13" s="276" t="s">
        <v>2</v>
      </c>
      <c r="Q13" s="275" t="s">
        <v>269</v>
      </c>
      <c r="S13" s="278" t="s">
        <v>289</v>
      </c>
      <c r="T13" s="281">
        <v>5</v>
      </c>
      <c r="U13" s="276" t="s">
        <v>2</v>
      </c>
      <c r="V13" s="275"/>
      <c r="X13" s="278" t="s">
        <v>289</v>
      </c>
      <c r="Y13" s="281">
        <v>4</v>
      </c>
      <c r="Z13" s="276" t="s">
        <v>2</v>
      </c>
      <c r="AA13" s="275"/>
      <c r="AB13" s="276"/>
      <c r="AC13" s="540" t="s">
        <v>92</v>
      </c>
      <c r="AD13" s="26">
        <f>AD9*AD8-AF18</f>
        <v>849681.42105107591</v>
      </c>
      <c r="AE13" s="28" t="s">
        <v>86</v>
      </c>
      <c r="AF13"/>
      <c r="AG13"/>
      <c r="AH13"/>
      <c r="AI13"/>
      <c r="AJ13" s="6"/>
      <c r="AK13"/>
      <c r="AL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2:53">
      <c r="B14" s="299">
        <v>8</v>
      </c>
      <c r="C14" s="311">
        <f>B14*B14*3.1416/4*8/100</f>
        <v>4.0212479999999999</v>
      </c>
      <c r="D14" s="310">
        <f>B14*B14*3.1416/4*5/100</f>
        <v>2.51328</v>
      </c>
      <c r="E14" s="310">
        <f>B14*B14*3.1416/4*4/100</f>
        <v>2.010624</v>
      </c>
      <c r="F14" s="309">
        <f>B14*B14*3.1416/4*3.3333/100</f>
        <v>1.6755032448</v>
      </c>
      <c r="G14" s="299">
        <v>8</v>
      </c>
      <c r="I14" s="278"/>
      <c r="J14" s="285"/>
      <c r="K14" s="276"/>
      <c r="L14" s="275"/>
      <c r="N14" s="278" t="s">
        <v>127</v>
      </c>
      <c r="O14" s="281">
        <v>5</v>
      </c>
      <c r="P14" s="276" t="s">
        <v>2</v>
      </c>
      <c r="Q14" s="275" t="s">
        <v>128</v>
      </c>
      <c r="S14" s="278"/>
      <c r="T14" s="285"/>
      <c r="U14" s="276"/>
      <c r="V14" s="275"/>
      <c r="X14" s="278"/>
      <c r="Y14" s="285"/>
      <c r="Z14" s="276"/>
      <c r="AA14" s="275"/>
      <c r="AB14" s="276"/>
      <c r="AC14" s="7"/>
      <c r="AD14"/>
      <c r="AE14"/>
      <c r="AF14"/>
      <c r="AG14"/>
      <c r="AH14"/>
      <c r="AI14"/>
      <c r="AJ14" s="6"/>
      <c r="AK14"/>
      <c r="AL14"/>
      <c r="AP14"/>
      <c r="AQ14"/>
      <c r="AR14"/>
      <c r="AS14"/>
      <c r="AT14"/>
      <c r="AU14"/>
      <c r="AV14"/>
      <c r="AW14"/>
      <c r="AX14"/>
      <c r="AY14"/>
      <c r="AZ14"/>
      <c r="BA14"/>
    </row>
    <row r="15" spans="2:53" ht="18">
      <c r="B15" s="295">
        <v>10</v>
      </c>
      <c r="C15" s="304">
        <f>B15*B15*3.1416/4*8/100</f>
        <v>6.283199999999999</v>
      </c>
      <c r="D15" s="259">
        <f>B15*B15*3.1416/4*5/100</f>
        <v>3.9269999999999992</v>
      </c>
      <c r="E15" s="259">
        <f>B15*B15*3.1416/4*4/100</f>
        <v>3.1415999999999995</v>
      </c>
      <c r="F15" s="303">
        <f>B15*B15*3.1416/4*3.3333/100</f>
        <v>2.6179738199999996</v>
      </c>
      <c r="G15" s="295">
        <v>10</v>
      </c>
      <c r="I15" s="278" t="s">
        <v>288</v>
      </c>
      <c r="J15" s="285">
        <f>J12-J13</f>
        <v>25</v>
      </c>
      <c r="K15" s="276" t="s">
        <v>2</v>
      </c>
      <c r="L15" s="275"/>
      <c r="N15" s="278" t="s">
        <v>288</v>
      </c>
      <c r="O15" s="285">
        <f>O12-O13</f>
        <v>115</v>
      </c>
      <c r="P15" s="276" t="s">
        <v>2</v>
      </c>
      <c r="Q15" s="275"/>
      <c r="S15" s="278" t="s">
        <v>288</v>
      </c>
      <c r="T15" s="285">
        <f>T12-T13</f>
        <v>15</v>
      </c>
      <c r="U15" s="276" t="s">
        <v>2</v>
      </c>
      <c r="V15" s="275"/>
      <c r="X15" s="278"/>
      <c r="Y15" s="285"/>
      <c r="Z15" s="276"/>
      <c r="AA15" s="275"/>
      <c r="AB15" s="276"/>
      <c r="AC15" s="529" t="s">
        <v>93</v>
      </c>
      <c r="AD15" s="532"/>
      <c r="AE15" s="532"/>
      <c r="AF15" s="532"/>
      <c r="AG15"/>
      <c r="AH15"/>
      <c r="AI15"/>
      <c r="AJ15" s="6"/>
      <c r="AK15"/>
      <c r="AL15"/>
      <c r="AP15"/>
      <c r="AQ15"/>
      <c r="AR15"/>
      <c r="AS15"/>
      <c r="AT15"/>
      <c r="AU15"/>
      <c r="AV15"/>
      <c r="AW15"/>
      <c r="AX15"/>
      <c r="AY15"/>
      <c r="AZ15"/>
      <c r="BA15"/>
    </row>
    <row r="16" spans="2:53">
      <c r="B16" s="299">
        <v>12</v>
      </c>
      <c r="C16" s="298">
        <f>B16*B16*3.1416/4*8/100</f>
        <v>9.0478079999999999</v>
      </c>
      <c r="D16" s="297">
        <f>B16*B16*3.1416/4*5/100</f>
        <v>5.6548800000000004</v>
      </c>
      <c r="E16" s="297">
        <f>B16*B16*3.1416/4*4/100</f>
        <v>4.5239039999999999</v>
      </c>
      <c r="F16" s="296">
        <f>B16*B16*3.1416/4*3.3333/100</f>
        <v>3.7698823008</v>
      </c>
      <c r="G16" s="299">
        <v>12</v>
      </c>
      <c r="I16" s="278"/>
      <c r="J16" s="285"/>
      <c r="K16" s="276"/>
      <c r="L16" s="275"/>
      <c r="N16" s="315"/>
      <c r="O16" s="276"/>
      <c r="P16" s="276"/>
      <c r="Q16" s="275"/>
      <c r="S16" s="278"/>
      <c r="T16" s="285"/>
      <c r="U16" s="276"/>
      <c r="V16" s="275"/>
      <c r="X16" s="315"/>
      <c r="Y16" s="276"/>
      <c r="Z16" s="276"/>
      <c r="AA16" s="275"/>
      <c r="AB16" s="276"/>
      <c r="AC16" s="7"/>
      <c r="AD16"/>
      <c r="AE16"/>
      <c r="AF16"/>
      <c r="AG16"/>
      <c r="AH16"/>
      <c r="AI16"/>
      <c r="AJ16" s="6"/>
      <c r="AK16"/>
      <c r="AL16"/>
      <c r="AP16"/>
      <c r="AQ16"/>
      <c r="AR16"/>
      <c r="AS16"/>
      <c r="AT16"/>
      <c r="AU16"/>
      <c r="AV16"/>
      <c r="AW16"/>
      <c r="AX16"/>
      <c r="AY16"/>
      <c r="AZ16"/>
      <c r="BA16"/>
    </row>
    <row r="17" spans="1:53">
      <c r="B17" s="327">
        <v>14</v>
      </c>
      <c r="C17" s="330">
        <f>B17*B17*3.1416/4*8/100</f>
        <v>12.315072000000001</v>
      </c>
      <c r="D17" s="329">
        <f>B17*B17*3.1416/4*5/100</f>
        <v>7.6969200000000004</v>
      </c>
      <c r="E17" s="329">
        <f>B17*B17*3.1416/4*4/100</f>
        <v>6.1575360000000003</v>
      </c>
      <c r="F17" s="328">
        <f>B17*B17*3.1416/4*3.3333/100</f>
        <v>5.1312286872000001</v>
      </c>
      <c r="G17" s="327">
        <v>14</v>
      </c>
      <c r="I17" s="278" t="s">
        <v>9</v>
      </c>
      <c r="J17" s="285">
        <f>J15*0.289</f>
        <v>7.2249999999999996</v>
      </c>
      <c r="K17" s="276"/>
      <c r="L17" s="275"/>
      <c r="N17" s="315"/>
      <c r="O17" s="276"/>
      <c r="P17" s="276"/>
      <c r="Q17" s="275"/>
      <c r="S17" s="278"/>
      <c r="T17" s="285"/>
      <c r="U17" s="276"/>
      <c r="V17" s="275"/>
      <c r="X17" s="315"/>
      <c r="Y17" s="276"/>
      <c r="Z17" s="276"/>
      <c r="AA17" s="275"/>
      <c r="AB17" s="276"/>
      <c r="AC17" s="533" t="s">
        <v>81</v>
      </c>
      <c r="AD17" s="25" t="s">
        <v>82</v>
      </c>
      <c r="AE17" s="25" t="s">
        <v>83</v>
      </c>
      <c r="AF17" s="25" t="s">
        <v>84</v>
      </c>
      <c r="AG17" s="530"/>
      <c r="AH17"/>
      <c r="AI17"/>
      <c r="AJ17" s="6"/>
      <c r="AK17"/>
      <c r="AL17"/>
      <c r="AP17"/>
      <c r="AQ17"/>
      <c r="AR17"/>
      <c r="AS17"/>
      <c r="AT17"/>
      <c r="AU17"/>
      <c r="AV17"/>
      <c r="AW17"/>
      <c r="AX17"/>
      <c r="AY17"/>
      <c r="AZ17"/>
      <c r="BA17"/>
    </row>
    <row r="18" spans="1:53">
      <c r="B18" s="299">
        <v>16</v>
      </c>
      <c r="C18" s="298">
        <f>B18*B18*3.1416/4*8/100</f>
        <v>16.084992</v>
      </c>
      <c r="D18" s="297">
        <f>B18*B18*3.1416/4*5/100</f>
        <v>10.05312</v>
      </c>
      <c r="E18" s="297">
        <f>B18*B18*3.1416/4*4/100</f>
        <v>8.0424959999999999</v>
      </c>
      <c r="F18" s="296">
        <f>B18*B18*3.1416/4*3.3333/100</f>
        <v>6.7020129792000001</v>
      </c>
      <c r="G18" s="299">
        <v>16</v>
      </c>
      <c r="I18" s="278"/>
      <c r="J18" s="285"/>
      <c r="K18" s="276"/>
      <c r="L18" s="275"/>
      <c r="N18" s="315"/>
      <c r="O18" s="276"/>
      <c r="P18" s="276"/>
      <c r="Q18" s="275"/>
      <c r="S18" s="278"/>
      <c r="T18" s="285"/>
      <c r="U18" s="276"/>
      <c r="V18" s="275"/>
      <c r="X18" s="315"/>
      <c r="Y18" s="276"/>
      <c r="Z18" s="276"/>
      <c r="AA18" s="275"/>
      <c r="AB18" s="276"/>
      <c r="AC18" s="539">
        <v>1</v>
      </c>
      <c r="AD18" s="281">
        <v>40</v>
      </c>
      <c r="AE18" s="281">
        <v>48</v>
      </c>
      <c r="AF18" s="26">
        <f>PI()*AD18^2/4*AE18</f>
        <v>60318.578948924027</v>
      </c>
      <c r="AG18" s="530"/>
      <c r="AH18"/>
      <c r="AI18"/>
      <c r="AJ18" s="6"/>
      <c r="AK18"/>
      <c r="AL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:53">
      <c r="B19" s="295"/>
      <c r="C19" s="304"/>
      <c r="D19" s="259"/>
      <c r="E19" s="259"/>
      <c r="F19" s="303"/>
      <c r="G19" s="295"/>
      <c r="I19" s="278" t="s">
        <v>5</v>
      </c>
      <c r="J19" s="318">
        <f>J9/J17</f>
        <v>33.21799307958478</v>
      </c>
      <c r="K19" s="276"/>
      <c r="L19" s="275"/>
      <c r="N19" s="315"/>
      <c r="O19" s="276"/>
      <c r="P19" s="276"/>
      <c r="Q19" s="275"/>
      <c r="S19" s="278" t="s">
        <v>17</v>
      </c>
      <c r="T19" s="318">
        <f>T9/T12</f>
        <v>12</v>
      </c>
      <c r="U19" s="276"/>
      <c r="V19" s="275"/>
      <c r="X19" s="315"/>
      <c r="Y19" s="276"/>
      <c r="Z19" s="276"/>
      <c r="AA19" s="275"/>
      <c r="AB19" s="276"/>
      <c r="AC19" s="539">
        <v>2</v>
      </c>
      <c r="AD19" s="281">
        <v>40</v>
      </c>
      <c r="AE19" s="281">
        <v>8</v>
      </c>
      <c r="AF19" s="26">
        <f>PI()*AD19^2/4*AE19</f>
        <v>10053.096491487338</v>
      </c>
      <c r="AG19" s="530"/>
      <c r="AH19"/>
      <c r="AI19"/>
      <c r="AJ19" s="6"/>
      <c r="AK19"/>
      <c r="AL19"/>
      <c r="AP19"/>
      <c r="AQ19"/>
      <c r="AR19"/>
      <c r="AS19"/>
      <c r="AT19"/>
      <c r="AU19"/>
      <c r="AV19"/>
      <c r="AW19"/>
      <c r="AX19"/>
      <c r="AY19"/>
      <c r="AZ19"/>
      <c r="BA19"/>
    </row>
    <row r="20" spans="1:53">
      <c r="B20" s="299">
        <v>20</v>
      </c>
      <c r="C20" s="298">
        <f>B20*B20*3.1416/4*8/100</f>
        <v>25.132799999999996</v>
      </c>
      <c r="D20" s="297">
        <f>B20*B20*3.1416/4*5/100</f>
        <v>15.707999999999997</v>
      </c>
      <c r="E20" s="297">
        <f>B20*B20*3.1416/4*4/100</f>
        <v>12.566399999999998</v>
      </c>
      <c r="F20" s="296">
        <f>B20*B20*3.1416/4*3.3333/100</f>
        <v>10.471895279999998</v>
      </c>
      <c r="G20" s="299">
        <v>20</v>
      </c>
      <c r="I20" s="278" t="s">
        <v>17</v>
      </c>
      <c r="J20" s="318">
        <f>J9/J12</f>
        <v>8</v>
      </c>
      <c r="K20" s="276"/>
      <c r="L20" s="275"/>
      <c r="N20" s="315"/>
      <c r="O20" s="276"/>
      <c r="P20" s="276"/>
      <c r="Q20" s="275"/>
      <c r="S20" s="315"/>
      <c r="T20" s="276"/>
      <c r="U20" s="276"/>
      <c r="V20" s="275"/>
      <c r="X20" s="315"/>
      <c r="Y20" s="276"/>
      <c r="Z20" s="276"/>
      <c r="AA20" s="275"/>
      <c r="AB20" s="276"/>
      <c r="AC20" s="539">
        <v>3</v>
      </c>
      <c r="AD20" s="281"/>
      <c r="AE20" s="281"/>
      <c r="AF20" s="26">
        <f>PI()*AD20^2/4*AE20</f>
        <v>0</v>
      </c>
      <c r="AG20" s="530"/>
      <c r="AH20"/>
      <c r="AI20"/>
      <c r="AJ20" s="6"/>
      <c r="AK20"/>
      <c r="AL20"/>
      <c r="AP20"/>
      <c r="AQ20"/>
      <c r="AR20"/>
      <c r="AS20"/>
      <c r="AT20"/>
      <c r="AU20"/>
      <c r="AV20"/>
      <c r="AW20"/>
      <c r="AX20"/>
      <c r="AY20"/>
      <c r="AZ20"/>
      <c r="BA20"/>
    </row>
    <row r="21" spans="1:53" ht="15.75" customHeight="1">
      <c r="B21" s="295">
        <v>25</v>
      </c>
      <c r="C21" s="304">
        <f>B21*B21*3.1416/4*8/100</f>
        <v>39.270000000000003</v>
      </c>
      <c r="D21" s="259">
        <f>B21*B21*3.1416/4*5/100</f>
        <v>24.543749999999999</v>
      </c>
      <c r="E21" s="259">
        <f>B21*B21*3.1416/4*4/100</f>
        <v>19.635000000000002</v>
      </c>
      <c r="F21" s="303">
        <f>B21*B21*3.1416/4*3.3333/100</f>
        <v>16.362336374999998</v>
      </c>
      <c r="G21" s="295">
        <v>25</v>
      </c>
      <c r="I21" s="315"/>
      <c r="J21" s="276"/>
      <c r="K21" s="276"/>
      <c r="L21" s="275"/>
      <c r="N21" s="315"/>
      <c r="O21" s="276"/>
      <c r="P21" s="276"/>
      <c r="Q21" s="275"/>
      <c r="S21" s="315"/>
      <c r="T21" s="276"/>
      <c r="U21" s="276"/>
      <c r="V21" s="275"/>
      <c r="X21" s="315"/>
      <c r="Y21" s="276"/>
      <c r="Z21" s="276"/>
      <c r="AA21" s="275"/>
      <c r="AB21" s="276"/>
      <c r="AC21" s="539">
        <v>4</v>
      </c>
      <c r="AD21" s="281"/>
      <c r="AE21" s="281"/>
      <c r="AF21" s="26">
        <f>PI()*AD21^2/4*AE21</f>
        <v>0</v>
      </c>
      <c r="AG21" s="530"/>
      <c r="AH21"/>
      <c r="AI21"/>
      <c r="AJ21" s="6"/>
      <c r="AK21"/>
      <c r="AL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:53" ht="15.75" customHeight="1">
      <c r="B22" s="299">
        <v>28</v>
      </c>
      <c r="C22" s="298">
        <f>B22*B22*3.1416/4*8/100</f>
        <v>49.260288000000003</v>
      </c>
      <c r="D22" s="297">
        <f>B22*B22*3.1416/4*5/100</f>
        <v>30.787680000000002</v>
      </c>
      <c r="E22" s="297">
        <f>B22*B22*3.1416/4*4/100</f>
        <v>24.630144000000001</v>
      </c>
      <c r="F22" s="296">
        <f>B22*B22*3.1416/4*3.3333/100</f>
        <v>20.524914748800001</v>
      </c>
      <c r="G22" s="299">
        <v>28</v>
      </c>
      <c r="I22" s="652" t="s">
        <v>18</v>
      </c>
      <c r="J22" s="653"/>
      <c r="K22" s="654"/>
      <c r="L22" s="275"/>
      <c r="N22" s="652" t="s">
        <v>20</v>
      </c>
      <c r="O22" s="653"/>
      <c r="P22" s="654"/>
      <c r="Q22" s="275"/>
      <c r="S22" s="652" t="s">
        <v>19</v>
      </c>
      <c r="T22" s="653"/>
      <c r="U22" s="654"/>
      <c r="V22" s="275"/>
      <c r="X22" s="652" t="s">
        <v>20</v>
      </c>
      <c r="Y22" s="653"/>
      <c r="Z22" s="654"/>
      <c r="AA22" s="275"/>
      <c r="AB22" s="276"/>
      <c r="AC22" s="539">
        <v>5</v>
      </c>
      <c r="AD22" s="281"/>
      <c r="AE22" s="281"/>
      <c r="AF22" s="27">
        <f>PI()*AD22^2/4*AE22</f>
        <v>0</v>
      </c>
      <c r="AG22" s="530"/>
      <c r="AH22"/>
      <c r="AI22"/>
      <c r="AJ22" s="6"/>
      <c r="AK22"/>
      <c r="AL22"/>
      <c r="AP22"/>
      <c r="AQ22"/>
      <c r="AR22"/>
      <c r="AS22"/>
      <c r="AT22"/>
      <c r="AU22"/>
      <c r="AV22"/>
      <c r="AW22"/>
      <c r="AX22"/>
      <c r="AY22"/>
      <c r="AZ22"/>
      <c r="BA22"/>
    </row>
    <row r="23" spans="1:53" ht="15.75" customHeight="1" thickBot="1">
      <c r="B23" s="295">
        <v>32</v>
      </c>
      <c r="C23" s="294">
        <f>B23*B23*3.1416/4*8/100</f>
        <v>64.339967999999999</v>
      </c>
      <c r="D23" s="293">
        <f>B23*B23*3.1416/4*5/100</f>
        <v>40.212479999999999</v>
      </c>
      <c r="E23" s="293">
        <f>B23*B23*3.1416/4*4/100</f>
        <v>32.169983999999999</v>
      </c>
      <c r="F23" s="292">
        <f>B23*B23*3.1416/4*3.3333/100</f>
        <v>26.8080519168</v>
      </c>
      <c r="G23" s="295">
        <v>32</v>
      </c>
      <c r="I23" s="655" t="s">
        <v>6</v>
      </c>
      <c r="J23" s="653"/>
      <c r="K23" s="654"/>
      <c r="L23" s="275"/>
      <c r="N23" s="315"/>
      <c r="O23" s="276"/>
      <c r="P23" s="276"/>
      <c r="Q23" s="275"/>
      <c r="S23" s="655" t="s">
        <v>16</v>
      </c>
      <c r="T23" s="653"/>
      <c r="U23" s="654"/>
      <c r="V23" s="275"/>
      <c r="X23" s="315"/>
      <c r="Y23" s="276"/>
      <c r="Z23" s="276"/>
      <c r="AA23" s="275"/>
      <c r="AB23" s="276"/>
      <c r="AC23" s="534"/>
      <c r="AD23" s="530"/>
      <c r="AE23" s="25" t="s">
        <v>85</v>
      </c>
      <c r="AF23" s="538">
        <f>SUM(AF18:AF22)</f>
        <v>70371.67544041136</v>
      </c>
      <c r="AG23" s="25" t="s">
        <v>86</v>
      </c>
      <c r="AH23"/>
      <c r="AI23"/>
      <c r="AJ23" s="6"/>
      <c r="AK23"/>
      <c r="AL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:53" ht="15.75" customHeight="1">
      <c r="B24" s="285"/>
      <c r="C24" s="318"/>
      <c r="D24" s="318"/>
      <c r="E24" s="318"/>
      <c r="F24" s="318"/>
      <c r="I24" s="324">
        <v>17</v>
      </c>
      <c r="J24" s="326">
        <f>J19</f>
        <v>33.21799307958478</v>
      </c>
      <c r="K24" s="322">
        <v>87</v>
      </c>
      <c r="L24" s="275"/>
      <c r="N24" s="315"/>
      <c r="O24" s="276"/>
      <c r="P24" s="276"/>
      <c r="Q24" s="275"/>
      <c r="S24" s="324">
        <v>5</v>
      </c>
      <c r="T24" s="326">
        <f>T19</f>
        <v>12</v>
      </c>
      <c r="U24" s="322">
        <v>25</v>
      </c>
      <c r="V24" s="275"/>
      <c r="X24" s="315"/>
      <c r="Y24" s="276"/>
      <c r="Z24" s="276"/>
      <c r="AA24" s="275"/>
      <c r="AB24" s="276"/>
      <c r="AC24" s="534"/>
      <c r="AD24" s="530"/>
      <c r="AE24" s="25" t="s">
        <v>87</v>
      </c>
      <c r="AF24" s="323">
        <f>AF23/(AD9*AD8)*100</f>
        <v>7.7331511472979519</v>
      </c>
      <c r="AG24" s="25" t="s">
        <v>88</v>
      </c>
      <c r="AH24"/>
      <c r="AI24"/>
      <c r="AJ24" s="6"/>
      <c r="AK24"/>
      <c r="AL24"/>
      <c r="AP24"/>
      <c r="AQ24"/>
      <c r="AR24"/>
      <c r="AS24"/>
      <c r="AT24"/>
      <c r="AU24"/>
      <c r="AV24"/>
      <c r="AW24"/>
      <c r="AX24"/>
      <c r="AY24"/>
      <c r="AZ24"/>
      <c r="BA24"/>
    </row>
    <row r="25" spans="1:53" ht="15.75" customHeight="1" thickBot="1">
      <c r="B25" s="285" t="s">
        <v>24</v>
      </c>
      <c r="C25" s="285" t="s">
        <v>25</v>
      </c>
      <c r="E25" s="285" t="s">
        <v>26</v>
      </c>
      <c r="I25" s="655" t="s">
        <v>8</v>
      </c>
      <c r="J25" s="653"/>
      <c r="K25" s="653"/>
      <c r="L25" s="275"/>
      <c r="N25" s="655" t="s">
        <v>8</v>
      </c>
      <c r="O25" s="653"/>
      <c r="P25" s="654"/>
      <c r="Q25" s="275"/>
      <c r="S25" s="655" t="s">
        <v>8</v>
      </c>
      <c r="T25" s="653"/>
      <c r="U25" s="653"/>
      <c r="V25" s="275"/>
      <c r="X25" s="655" t="s">
        <v>8</v>
      </c>
      <c r="Y25" s="653"/>
      <c r="Z25" s="654"/>
      <c r="AA25" s="275"/>
      <c r="AB25" s="276"/>
      <c r="AC25" s="7"/>
      <c r="AD25"/>
      <c r="AE25"/>
      <c r="AF25"/>
      <c r="AG25"/>
      <c r="AH25"/>
      <c r="AI25"/>
      <c r="AJ25" s="6"/>
      <c r="AK25"/>
      <c r="AL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1:53" ht="15.75" customHeight="1">
      <c r="A26" s="257" t="s">
        <v>27</v>
      </c>
      <c r="B26" s="281">
        <v>10</v>
      </c>
      <c r="C26" s="281">
        <v>250</v>
      </c>
      <c r="E26" s="323">
        <f>VLOOKUP(B26,B13:F23,VLOOKUP(C26,B42:C45,2))</f>
        <v>3.1415999999999995</v>
      </c>
      <c r="F26" s="257" t="s">
        <v>23</v>
      </c>
      <c r="I26" s="324">
        <v>0.1</v>
      </c>
      <c r="J26" s="323">
        <f>IF(J24&lt;=17,0.1,IF(J24&gt;=87,0.25,I26+(J24-I24)/(K24-I24)*(K26-I26)))</f>
        <v>0.13475284231339596</v>
      </c>
      <c r="K26" s="322">
        <v>0.25</v>
      </c>
      <c r="L26" s="275"/>
      <c r="N26" s="315"/>
      <c r="O26" s="325">
        <v>0.1</v>
      </c>
      <c r="P26" s="325">
        <v>0.15</v>
      </c>
      <c r="Q26" s="275"/>
      <c r="S26" s="324">
        <v>0.1</v>
      </c>
      <c r="T26" s="323">
        <f>IF(T24&lt;=5,0.1,IF(T24&gt;=25,0.25,S26+(T24-S24)/(U24-S24)*(U26-S26)))</f>
        <v>0.1525</v>
      </c>
      <c r="U26" s="322">
        <v>0.25</v>
      </c>
      <c r="V26" s="275"/>
      <c r="X26" s="657">
        <v>0.15</v>
      </c>
      <c r="Y26" s="653"/>
      <c r="Z26" s="654"/>
      <c r="AA26" s="275"/>
      <c r="AB26" s="276"/>
      <c r="AC26" s="529" t="s">
        <v>201</v>
      </c>
      <c r="AD26"/>
      <c r="AE26" s="535"/>
      <c r="AF26" s="535"/>
      <c r="AG26" s="535"/>
      <c r="AH26"/>
      <c r="AI26"/>
      <c r="AJ26" s="6"/>
      <c r="AK26"/>
      <c r="AL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:53" ht="15.75" customHeight="1">
      <c r="I27" s="315"/>
      <c r="J27" s="276"/>
      <c r="K27" s="276"/>
      <c r="L27" s="275"/>
      <c r="N27" s="315"/>
      <c r="O27" s="321"/>
      <c r="P27" s="321"/>
      <c r="Q27" s="275"/>
      <c r="S27" s="315"/>
      <c r="T27" s="276"/>
      <c r="U27" s="276"/>
      <c r="V27" s="275"/>
      <c r="X27" s="315"/>
      <c r="Y27" s="276"/>
      <c r="Z27" s="276"/>
      <c r="AA27" s="275"/>
      <c r="AB27" s="276"/>
      <c r="AC27" s="7"/>
      <c r="AD27"/>
      <c r="AE27"/>
      <c r="AF27"/>
      <c r="AG27"/>
      <c r="AH27"/>
      <c r="AI27"/>
      <c r="AJ27" s="6"/>
      <c r="AK27"/>
      <c r="AL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3" ht="15.75" customHeight="1">
      <c r="B28" s="656" t="s">
        <v>28</v>
      </c>
      <c r="C28" s="653"/>
      <c r="D28" s="653"/>
      <c r="E28" s="653"/>
      <c r="F28" s="654"/>
      <c r="I28" s="288" t="s">
        <v>7</v>
      </c>
      <c r="J28" s="276"/>
      <c r="K28" s="318">
        <f>J15*J11*J26/100</f>
        <v>3.3688210578348992</v>
      </c>
      <c r="L28" s="275" t="s">
        <v>273</v>
      </c>
      <c r="N28" s="288" t="s">
        <v>287</v>
      </c>
      <c r="O28" s="320">
        <f>O11*O15*O26/100</f>
        <v>11.5</v>
      </c>
      <c r="P28" s="319">
        <f>O11*O15*P26/100</f>
        <v>17.25</v>
      </c>
      <c r="Q28" s="275" t="s">
        <v>273</v>
      </c>
      <c r="R28" s="276"/>
      <c r="S28" s="288" t="s">
        <v>7</v>
      </c>
      <c r="T28" s="276"/>
      <c r="U28" s="318">
        <f>T15*T11*T26/100</f>
        <v>2.2875000000000001</v>
      </c>
      <c r="V28" s="275" t="s">
        <v>273</v>
      </c>
      <c r="X28" s="288" t="s">
        <v>7</v>
      </c>
      <c r="Y28" s="276"/>
      <c r="Z28" s="318">
        <f>Y11*Y12*X26/100</f>
        <v>24</v>
      </c>
      <c r="AA28" s="275" t="s">
        <v>273</v>
      </c>
      <c r="AB28" s="276"/>
      <c r="AC28" s="531" t="s">
        <v>82</v>
      </c>
      <c r="AD28" s="25" t="s">
        <v>198</v>
      </c>
      <c r="AE28" s="25" t="s">
        <v>199</v>
      </c>
      <c r="AF28" s="25" t="s">
        <v>200</v>
      </c>
      <c r="AG28" s="25" t="s">
        <v>204</v>
      </c>
      <c r="AH28" s="25" t="s">
        <v>202</v>
      </c>
      <c r="AI28" s="25" t="s">
        <v>203</v>
      </c>
      <c r="AJ28" s="6"/>
      <c r="AK28"/>
      <c r="AL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:53" ht="15.75" customHeight="1" thickBot="1">
      <c r="C29" s="656" t="s">
        <v>13</v>
      </c>
      <c r="D29" s="653"/>
      <c r="E29" s="653"/>
      <c r="F29" s="654"/>
      <c r="I29" s="315"/>
      <c r="J29" s="276"/>
      <c r="K29" s="276"/>
      <c r="L29" s="275"/>
      <c r="N29" s="315" t="s">
        <v>286</v>
      </c>
      <c r="O29" s="317">
        <f>LOOKUP(O28*1.3,E14:E23,B14:B23)</f>
        <v>20</v>
      </c>
      <c r="P29" s="316">
        <f>LOOKUP(P28*1.3,E14:E23,B14:B23)</f>
        <v>25</v>
      </c>
      <c r="Q29" s="275" t="s">
        <v>282</v>
      </c>
      <c r="S29" s="315"/>
      <c r="T29" s="276"/>
      <c r="U29" s="276"/>
      <c r="V29" s="275"/>
      <c r="X29" s="315"/>
      <c r="Y29" s="276"/>
      <c r="Z29" s="276"/>
      <c r="AA29" s="275"/>
      <c r="AB29" s="276"/>
      <c r="AC29" s="281">
        <f>IF(ISBLANK(AD18:AD22),0,MIN(AD18:AD22))</f>
        <v>40</v>
      </c>
      <c r="AD29" s="536">
        <v>6</v>
      </c>
      <c r="AE29" s="537">
        <f>AC29*15</f>
        <v>600</v>
      </c>
      <c r="AF29" s="537">
        <f>AC29*10</f>
        <v>400</v>
      </c>
      <c r="AG29" s="537">
        <f>AC29*0.25</f>
        <v>10</v>
      </c>
      <c r="AH29" s="537">
        <f>AD11/2</f>
        <v>315</v>
      </c>
      <c r="AI29" s="537">
        <f>AD12/2</f>
        <v>615</v>
      </c>
      <c r="AJ29" s="11"/>
      <c r="AK29"/>
      <c r="AL29"/>
    </row>
    <row r="30" spans="1:53" ht="15.75" customHeight="1" thickBot="1">
      <c r="C30" s="314">
        <v>125</v>
      </c>
      <c r="D30" s="314">
        <v>200</v>
      </c>
      <c r="E30" s="314">
        <v>250</v>
      </c>
      <c r="F30" s="314">
        <v>300</v>
      </c>
      <c r="I30" s="313"/>
      <c r="J30" s="312"/>
      <c r="K30" s="312"/>
      <c r="L30" s="300"/>
      <c r="N30" s="313"/>
      <c r="O30" s="312">
        <f>LOOKUP(O28*1.3,D14:D23,B14:B23)</f>
        <v>16</v>
      </c>
      <c r="P30" s="312"/>
      <c r="Q30" s="300"/>
      <c r="S30" s="313"/>
      <c r="T30" s="312"/>
      <c r="U30" s="312"/>
      <c r="V30" s="300"/>
      <c r="X30" s="313"/>
      <c r="Y30" s="312"/>
      <c r="Z30" s="312"/>
      <c r="AA30" s="300"/>
      <c r="AB30" s="276"/>
      <c r="AJ30"/>
      <c r="AK30"/>
      <c r="AL30"/>
    </row>
    <row r="31" spans="1:53" ht="15.75" customHeight="1" thickBot="1">
      <c r="A31" s="649" t="s">
        <v>33</v>
      </c>
      <c r="B31" s="299">
        <v>8</v>
      </c>
      <c r="C31" s="311">
        <f t="shared" ref="C31:F33" si="0">C14+$E$26</f>
        <v>7.1628479999999994</v>
      </c>
      <c r="D31" s="310">
        <f t="shared" si="0"/>
        <v>5.6548799999999995</v>
      </c>
      <c r="E31" s="310">
        <f t="shared" si="0"/>
        <v>5.1522239999999995</v>
      </c>
      <c r="F31" s="309">
        <f t="shared" si="0"/>
        <v>4.8171032447999993</v>
      </c>
      <c r="AK31"/>
      <c r="AL31"/>
    </row>
    <row r="32" spans="1:53" ht="15.75" customHeight="1">
      <c r="A32" s="650"/>
      <c r="B32" s="295">
        <v>10</v>
      </c>
      <c r="C32" s="304">
        <f t="shared" si="0"/>
        <v>9.4247999999999976</v>
      </c>
      <c r="D32" s="259">
        <f t="shared" si="0"/>
        <v>7.0685999999999982</v>
      </c>
      <c r="E32" s="259">
        <f t="shared" si="0"/>
        <v>6.283199999999999</v>
      </c>
      <c r="F32" s="303">
        <f t="shared" si="0"/>
        <v>5.7595738199999991</v>
      </c>
      <c r="N32" s="308" t="s">
        <v>126</v>
      </c>
      <c r="O32" s="290"/>
      <c r="P32" s="290"/>
      <c r="Q32" s="289"/>
    </row>
    <row r="33" spans="1:29" ht="15.75" customHeight="1">
      <c r="A33" s="650"/>
      <c r="B33" s="299">
        <v>12</v>
      </c>
      <c r="C33" s="298">
        <f t="shared" si="0"/>
        <v>12.189408</v>
      </c>
      <c r="D33" s="297">
        <f t="shared" si="0"/>
        <v>8.796479999999999</v>
      </c>
      <c r="E33" s="297">
        <f t="shared" si="0"/>
        <v>7.6655039999999994</v>
      </c>
      <c r="F33" s="296">
        <f t="shared" si="0"/>
        <v>6.9114823007999995</v>
      </c>
      <c r="H33" s="257" t="s">
        <v>76</v>
      </c>
      <c r="I33" s="287">
        <v>1.4999999999999999E-2</v>
      </c>
      <c r="J33" s="257" t="s">
        <v>70</v>
      </c>
      <c r="L33" s="257" t="s">
        <v>70</v>
      </c>
      <c r="N33" s="288" t="s">
        <v>280</v>
      </c>
      <c r="O33" s="276"/>
      <c r="P33" s="276"/>
      <c r="Q33" s="275"/>
    </row>
    <row r="34" spans="1:29" ht="15.75" customHeight="1">
      <c r="A34" s="650"/>
      <c r="B34" s="295">
        <v>14</v>
      </c>
      <c r="C34" s="304"/>
      <c r="D34" s="259"/>
      <c r="E34" s="259"/>
      <c r="F34" s="303"/>
      <c r="I34" s="285">
        <v>1.4999999999999999E-2</v>
      </c>
      <c r="J34" s="285" t="s">
        <v>69</v>
      </c>
      <c r="K34" s="285">
        <v>125</v>
      </c>
      <c r="L34" s="285" t="s">
        <v>68</v>
      </c>
      <c r="N34" s="280"/>
      <c r="Q34" s="307"/>
    </row>
    <row r="35" spans="1:29" ht="15.75" customHeight="1">
      <c r="A35" s="650"/>
      <c r="B35" s="299">
        <v>16</v>
      </c>
      <c r="C35" s="298">
        <f>C18+$E$26</f>
        <v>19.226592</v>
      </c>
      <c r="D35" s="297">
        <f>D18+$E$26</f>
        <v>13.19472</v>
      </c>
      <c r="E35" s="297">
        <f>E18+$E$26</f>
        <v>11.184096</v>
      </c>
      <c r="F35" s="296">
        <f>F18+$E$26</f>
        <v>9.8436129791999996</v>
      </c>
      <c r="H35" s="257">
        <v>400</v>
      </c>
      <c r="I35" s="285">
        <f>H35/10*100*$I$34</f>
        <v>60</v>
      </c>
      <c r="J35" s="285" t="s">
        <v>285</v>
      </c>
      <c r="K35" s="285" t="s">
        <v>71</v>
      </c>
      <c r="L35" s="285" t="s">
        <v>72</v>
      </c>
      <c r="N35" s="280" t="s">
        <v>129</v>
      </c>
      <c r="Q35" s="307">
        <f>IF(OR(O12&gt;100,O12=100),ROUNDDOWN((O12-O13-O14)/80,0),0)</f>
        <v>1</v>
      </c>
    </row>
    <row r="36" spans="1:29" ht="15.75" customHeight="1">
      <c r="A36" s="650"/>
      <c r="B36" s="295"/>
      <c r="C36" s="304"/>
      <c r="D36" s="259"/>
      <c r="E36" s="259"/>
      <c r="F36" s="303"/>
      <c r="H36" s="257">
        <v>360</v>
      </c>
      <c r="I36" s="285">
        <f>H36/10*100*$I$34</f>
        <v>54</v>
      </c>
      <c r="J36" s="285" t="s">
        <v>71</v>
      </c>
      <c r="K36" s="285" t="s">
        <v>71</v>
      </c>
      <c r="L36" s="285" t="s">
        <v>284</v>
      </c>
      <c r="N36" s="280"/>
      <c r="O36" s="306" t="s">
        <v>130</v>
      </c>
      <c r="P36" s="267">
        <f>IF(Q35&gt;0,ROUNDDOWN((O12-O13-O14)/(Q35+1),0),0)</f>
        <v>55</v>
      </c>
      <c r="Q36" s="279" t="s">
        <v>2</v>
      </c>
    </row>
    <row r="37" spans="1:29" ht="15.75" customHeight="1" thickBot="1">
      <c r="A37" s="650"/>
      <c r="B37" s="299">
        <v>20</v>
      </c>
      <c r="C37" s="298">
        <f t="shared" ref="C37:F40" si="1">C20+$E$26</f>
        <v>28.274399999999996</v>
      </c>
      <c r="D37" s="297">
        <f t="shared" si="1"/>
        <v>18.849599999999995</v>
      </c>
      <c r="E37" s="297">
        <f t="shared" si="1"/>
        <v>15.707999999999998</v>
      </c>
      <c r="F37" s="296">
        <f t="shared" si="1"/>
        <v>13.613495279999999</v>
      </c>
      <c r="H37" s="257">
        <v>300</v>
      </c>
      <c r="I37" s="285">
        <f>H37/10*100*$I$34</f>
        <v>45</v>
      </c>
      <c r="J37" s="285" t="s">
        <v>73</v>
      </c>
      <c r="K37" s="285" t="s">
        <v>73</v>
      </c>
      <c r="L37" s="285" t="s">
        <v>74</v>
      </c>
      <c r="N37" s="274"/>
      <c r="O37" s="302" t="s">
        <v>131</v>
      </c>
      <c r="P37" s="305">
        <f>IF(OR(O12&gt;100,O12=100),O12*100*0.0005,0)</f>
        <v>6</v>
      </c>
      <c r="Q37" s="272" t="s">
        <v>132</v>
      </c>
    </row>
    <row r="38" spans="1:29" ht="15.75" customHeight="1" thickBot="1">
      <c r="A38" s="650"/>
      <c r="B38" s="295">
        <v>25</v>
      </c>
      <c r="C38" s="304">
        <f t="shared" si="1"/>
        <v>42.4116</v>
      </c>
      <c r="D38" s="259">
        <f t="shared" si="1"/>
        <v>27.68535</v>
      </c>
      <c r="E38" s="259">
        <f t="shared" si="1"/>
        <v>22.776600000000002</v>
      </c>
      <c r="F38" s="303">
        <f t="shared" si="1"/>
        <v>19.503936374999999</v>
      </c>
      <c r="H38" s="257">
        <v>220</v>
      </c>
      <c r="I38" s="285">
        <f>H38/10*100*$I$34</f>
        <v>33</v>
      </c>
      <c r="J38" s="285" t="s">
        <v>72</v>
      </c>
      <c r="K38" s="285" t="s">
        <v>72</v>
      </c>
      <c r="L38" s="285" t="s">
        <v>74</v>
      </c>
      <c r="N38" s="274"/>
      <c r="O38" s="302" t="s">
        <v>283</v>
      </c>
      <c r="P38" s="301" t="e">
        <f>VLOOKUP(P37,AA48:AC57,3)</f>
        <v>#N/A</v>
      </c>
      <c r="Q38" s="300" t="s">
        <v>282</v>
      </c>
    </row>
    <row r="39" spans="1:29" ht="15.75" customHeight="1" thickBot="1">
      <c r="A39" s="650"/>
      <c r="B39" s="299">
        <v>28</v>
      </c>
      <c r="C39" s="298">
        <f t="shared" si="1"/>
        <v>52.401888</v>
      </c>
      <c r="D39" s="297">
        <f t="shared" si="1"/>
        <v>33.929279999999999</v>
      </c>
      <c r="E39" s="297">
        <f t="shared" si="1"/>
        <v>27.771744000000002</v>
      </c>
      <c r="F39" s="296">
        <f t="shared" si="1"/>
        <v>23.666514748800001</v>
      </c>
      <c r="H39" s="257">
        <v>200</v>
      </c>
      <c r="I39" s="285">
        <f>H39/10*100*$I$34</f>
        <v>30</v>
      </c>
      <c r="J39" s="285" t="s">
        <v>72</v>
      </c>
      <c r="K39" s="285" t="s">
        <v>72</v>
      </c>
      <c r="L39" s="285" t="s">
        <v>75</v>
      </c>
    </row>
    <row r="40" spans="1:29" ht="15.75" customHeight="1" thickBot="1">
      <c r="A40" s="651"/>
      <c r="B40" s="295">
        <v>32</v>
      </c>
      <c r="C40" s="294">
        <f t="shared" si="1"/>
        <v>67.481567999999996</v>
      </c>
      <c r="D40" s="293">
        <f t="shared" si="1"/>
        <v>43.354079999999996</v>
      </c>
      <c r="E40" s="293">
        <f t="shared" si="1"/>
        <v>35.311583999999996</v>
      </c>
      <c r="F40" s="292">
        <f t="shared" si="1"/>
        <v>29.949651916800001</v>
      </c>
      <c r="I40" s="285" t="s">
        <v>273</v>
      </c>
      <c r="J40" s="257" t="s">
        <v>272</v>
      </c>
      <c r="N40" s="291" t="s">
        <v>281</v>
      </c>
      <c r="O40" s="290"/>
      <c r="P40" s="290"/>
      <c r="Q40" s="289"/>
    </row>
    <row r="41" spans="1:29" ht="15.75" customHeight="1">
      <c r="N41" s="288" t="s">
        <v>280</v>
      </c>
      <c r="O41" s="276"/>
      <c r="Q41" s="279"/>
    </row>
    <row r="42" spans="1:29" ht="15.75" customHeight="1">
      <c r="B42" s="257">
        <v>125</v>
      </c>
      <c r="C42" s="257">
        <v>2</v>
      </c>
      <c r="H42" s="257" t="s">
        <v>76</v>
      </c>
      <c r="I42" s="287">
        <v>0.02</v>
      </c>
      <c r="J42" s="257" t="s">
        <v>70</v>
      </c>
      <c r="L42" s="257" t="s">
        <v>70</v>
      </c>
      <c r="N42" s="280" t="s">
        <v>279</v>
      </c>
      <c r="O42" s="281">
        <v>10</v>
      </c>
      <c r="P42" s="257" t="s">
        <v>90</v>
      </c>
      <c r="Q42" s="279"/>
    </row>
    <row r="43" spans="1:29" ht="15.75" customHeight="1">
      <c r="B43" s="257">
        <v>200</v>
      </c>
      <c r="C43" s="257">
        <v>3</v>
      </c>
      <c r="I43" s="285">
        <v>0.02</v>
      </c>
      <c r="J43" s="285" t="s">
        <v>69</v>
      </c>
      <c r="K43" s="285">
        <v>125</v>
      </c>
      <c r="L43" s="285" t="s">
        <v>68</v>
      </c>
      <c r="N43" s="280"/>
      <c r="Q43" s="279"/>
      <c r="T43" s="257">
        <v>2017</v>
      </c>
      <c r="U43" s="283">
        <v>40</v>
      </c>
      <c r="V43" s="257">
        <v>1.1499999999999999</v>
      </c>
    </row>
    <row r="44" spans="1:29" ht="15.75" customHeight="1">
      <c r="B44" s="257">
        <v>250</v>
      </c>
      <c r="C44" s="257">
        <v>4</v>
      </c>
      <c r="H44" s="257">
        <v>400</v>
      </c>
      <c r="I44" s="285">
        <f>H44/10*100*$I$43</f>
        <v>80</v>
      </c>
      <c r="J44" s="286" t="s">
        <v>278</v>
      </c>
      <c r="K44" s="286" t="s">
        <v>71</v>
      </c>
      <c r="L44" s="286" t="s">
        <v>72</v>
      </c>
      <c r="N44" s="280" t="s">
        <v>277</v>
      </c>
      <c r="Q44" s="279"/>
      <c r="T44" s="257">
        <v>2018</v>
      </c>
      <c r="U44" s="283">
        <f t="shared" ref="U44:U49" si="2">U43*V43</f>
        <v>46</v>
      </c>
      <c r="V44" s="257">
        <v>1.1499999999999999</v>
      </c>
      <c r="Y44" s="656" t="s">
        <v>40</v>
      </c>
      <c r="Z44" s="653"/>
      <c r="AA44" s="653"/>
      <c r="AB44" s="654"/>
    </row>
    <row r="45" spans="1:29" ht="15.75" customHeight="1">
      <c r="B45" s="257">
        <v>300</v>
      </c>
      <c r="C45" s="257">
        <v>5</v>
      </c>
      <c r="H45" s="257">
        <v>360</v>
      </c>
      <c r="I45" s="285">
        <f>H45/10*100*$I$43</f>
        <v>72</v>
      </c>
      <c r="J45" s="286" t="s">
        <v>71</v>
      </c>
      <c r="K45" s="286" t="s">
        <v>71</v>
      </c>
      <c r="L45" s="286" t="s">
        <v>276</v>
      </c>
      <c r="N45" s="280" t="s">
        <v>275</v>
      </c>
      <c r="O45" s="281">
        <v>10</v>
      </c>
      <c r="P45" s="257" t="s">
        <v>90</v>
      </c>
      <c r="Q45" s="279"/>
      <c r="T45" s="257">
        <v>2019</v>
      </c>
      <c r="U45" s="283">
        <f t="shared" si="2"/>
        <v>52.9</v>
      </c>
      <c r="V45" s="257">
        <v>1.1499999999999999</v>
      </c>
      <c r="Y45" s="277">
        <v>8</v>
      </c>
      <c r="Z45" s="277">
        <v>5</v>
      </c>
      <c r="AA45" s="277">
        <v>4</v>
      </c>
      <c r="AB45" s="277">
        <v>3.33</v>
      </c>
    </row>
    <row r="46" spans="1:29" ht="15.75" customHeight="1">
      <c r="H46" s="257">
        <v>300</v>
      </c>
      <c r="I46" s="285">
        <f>H46/10*100*$I$43</f>
        <v>60</v>
      </c>
      <c r="J46" s="286" t="s">
        <v>73</v>
      </c>
      <c r="K46" s="286" t="s">
        <v>73</v>
      </c>
      <c r="L46" s="286" t="s">
        <v>74</v>
      </c>
      <c r="N46" s="280" t="s">
        <v>274</v>
      </c>
      <c r="Q46" s="279"/>
      <c r="T46" s="257">
        <v>2020</v>
      </c>
      <c r="U46" s="283">
        <f t="shared" si="2"/>
        <v>60.834999999999994</v>
      </c>
      <c r="V46" s="257">
        <v>1.1499999999999999</v>
      </c>
      <c r="Y46" s="656" t="s">
        <v>13</v>
      </c>
      <c r="Z46" s="653"/>
      <c r="AA46" s="653"/>
      <c r="AB46" s="654"/>
    </row>
    <row r="47" spans="1:29" ht="15.75" customHeight="1">
      <c r="H47" s="257">
        <v>220</v>
      </c>
      <c r="I47" s="285">
        <f>H47/10*100*$I$43</f>
        <v>44</v>
      </c>
      <c r="J47" s="286" t="s">
        <v>72</v>
      </c>
      <c r="K47" s="286" t="s">
        <v>72</v>
      </c>
      <c r="L47" s="286" t="s">
        <v>74</v>
      </c>
      <c r="N47" s="280" t="s">
        <v>264</v>
      </c>
      <c r="O47" s="282">
        <f>O12-O13-O14-O42/10*4-O45/10</f>
        <v>105</v>
      </c>
      <c r="P47" s="276" t="s">
        <v>2</v>
      </c>
      <c r="Q47" s="279"/>
      <c r="T47" s="257">
        <v>2021</v>
      </c>
      <c r="U47" s="283">
        <f t="shared" si="2"/>
        <v>69.960249999999988</v>
      </c>
      <c r="V47" s="257">
        <v>1.1499999999999999</v>
      </c>
      <c r="Y47" s="314">
        <v>125</v>
      </c>
      <c r="Z47" s="314">
        <v>200</v>
      </c>
      <c r="AA47" s="314">
        <v>250</v>
      </c>
      <c r="AB47" s="314">
        <v>300</v>
      </c>
    </row>
    <row r="48" spans="1:29" ht="15.75" customHeight="1" thickBot="1">
      <c r="H48" s="257">
        <v>200</v>
      </c>
      <c r="I48" s="285">
        <f>H48/10*100*$I$43</f>
        <v>40</v>
      </c>
      <c r="J48" s="286" t="s">
        <v>72</v>
      </c>
      <c r="K48" s="286" t="s">
        <v>72</v>
      </c>
      <c r="L48" s="286" t="s">
        <v>75</v>
      </c>
      <c r="N48" s="280"/>
      <c r="Q48" s="279"/>
      <c r="U48" s="283">
        <f t="shared" si="2"/>
        <v>80.454287499999978</v>
      </c>
      <c r="V48" s="257">
        <v>1.1499999999999999</v>
      </c>
      <c r="X48" s="295">
        <v>32</v>
      </c>
      <c r="Y48" s="294">
        <f>X48*X48*3.1416/4*8/100</f>
        <v>64.339967999999999</v>
      </c>
      <c r="Z48" s="293">
        <f>X48*X48*3.1416/4*5/100</f>
        <v>40.212479999999999</v>
      </c>
      <c r="AA48" s="293">
        <f>X48*X48*3.1416/4*4/100</f>
        <v>32.169983999999999</v>
      </c>
      <c r="AB48" s="292">
        <f>X48*X48*3.1416/4*3.3333/100</f>
        <v>26.8080519168</v>
      </c>
      <c r="AC48" s="295">
        <v>32</v>
      </c>
    </row>
    <row r="49" spans="1:29" ht="15.75" customHeight="1">
      <c r="I49" s="285" t="s">
        <v>273</v>
      </c>
      <c r="J49" s="284" t="s">
        <v>272</v>
      </c>
      <c r="N49" s="280" t="s">
        <v>271</v>
      </c>
      <c r="Q49" s="279"/>
      <c r="U49" s="283">
        <f t="shared" si="2"/>
        <v>92.52243062499997</v>
      </c>
      <c r="V49" s="257">
        <v>1.1499999999999999</v>
      </c>
      <c r="X49" s="299">
        <v>28</v>
      </c>
      <c r="Y49" s="298">
        <f>X49*X49*3.1416/4*8/100</f>
        <v>49.260288000000003</v>
      </c>
      <c r="Z49" s="297">
        <f>X49*X49*3.1416/4*5/100</f>
        <v>30.787680000000002</v>
      </c>
      <c r="AA49" s="297">
        <f>X49*X49*3.1416/4*4/100</f>
        <v>24.630144000000001</v>
      </c>
      <c r="AB49" s="296">
        <f>X49*X49*3.1416/4*3.3333/100</f>
        <v>20.524914748800001</v>
      </c>
      <c r="AC49" s="299">
        <v>28</v>
      </c>
    </row>
    <row r="50" spans="1:29" ht="15.75" customHeight="1">
      <c r="N50" s="280" t="s">
        <v>270</v>
      </c>
      <c r="O50" s="281">
        <v>10</v>
      </c>
      <c r="P50" s="257" t="s">
        <v>90</v>
      </c>
      <c r="Q50" s="279"/>
      <c r="V50" s="257">
        <v>1.1499999999999999</v>
      </c>
      <c r="X50" s="295">
        <v>25</v>
      </c>
      <c r="Y50" s="304">
        <f>X50*X50*3.1416/4*8/100</f>
        <v>39.270000000000003</v>
      </c>
      <c r="Z50" s="259">
        <f>X50*X50*3.1416/4*5/100</f>
        <v>24.543749999999999</v>
      </c>
      <c r="AA50" s="259">
        <f>X50*X50*3.1416/4*4/100</f>
        <v>19.635000000000002</v>
      </c>
      <c r="AB50" s="303">
        <f>X50*X50*3.1416/4*3.3333/100</f>
        <v>16.362336374999998</v>
      </c>
      <c r="AC50" s="295">
        <v>25</v>
      </c>
    </row>
    <row r="51" spans="1:29" ht="15.75" customHeight="1">
      <c r="N51" s="278" t="s">
        <v>127</v>
      </c>
      <c r="O51" s="277">
        <f>O13*10</f>
        <v>50</v>
      </c>
      <c r="P51" s="276" t="s">
        <v>2</v>
      </c>
      <c r="Q51" s="275" t="s">
        <v>269</v>
      </c>
      <c r="X51" s="299">
        <v>20</v>
      </c>
      <c r="Y51" s="298">
        <f>X51*X51*3.1416/4*8/100</f>
        <v>25.132799999999996</v>
      </c>
      <c r="Z51" s="297">
        <f>X51*X51*3.1416/4*5/100</f>
        <v>15.707999999999997</v>
      </c>
      <c r="AA51" s="297">
        <f>X51*X51*3.1416/4*4/100</f>
        <v>12.566399999999998</v>
      </c>
      <c r="AB51" s="296">
        <f>X51*X51*3.1416/4*3.3333/100</f>
        <v>10.471895279999998</v>
      </c>
      <c r="AC51" s="299">
        <v>20</v>
      </c>
    </row>
    <row r="52" spans="1:29" ht="15.75" customHeight="1">
      <c r="N52" s="280" t="s">
        <v>262</v>
      </c>
      <c r="O52" s="281">
        <v>12</v>
      </c>
      <c r="P52" s="257" t="s">
        <v>90</v>
      </c>
      <c r="Q52" s="279" t="s">
        <v>268</v>
      </c>
      <c r="X52" s="295"/>
      <c r="Y52" s="304"/>
      <c r="Z52" s="259"/>
      <c r="AA52" s="259"/>
      <c r="AB52" s="303"/>
      <c r="AC52" s="295"/>
    </row>
    <row r="53" spans="1:29" ht="15.75" customHeight="1">
      <c r="N53" s="280" t="s">
        <v>260</v>
      </c>
      <c r="O53" s="281">
        <v>12</v>
      </c>
      <c r="P53" s="257" t="s">
        <v>90</v>
      </c>
      <c r="Q53" s="279" t="s">
        <v>267</v>
      </c>
      <c r="X53" s="299">
        <v>16</v>
      </c>
      <c r="Y53" s="298">
        <f>X53*X53*3.1416/4*8/100</f>
        <v>16.084992</v>
      </c>
      <c r="Z53" s="297">
        <f>X53*X53*3.1416/4*5/100</f>
        <v>10.05312</v>
      </c>
      <c r="AA53" s="297">
        <f>X53*X53*3.1416/4*4/100</f>
        <v>8.0424959999999999</v>
      </c>
      <c r="AB53" s="296">
        <f>X53*X53*3.1416/4*3.3333/100</f>
        <v>6.7020129792000001</v>
      </c>
      <c r="AC53" s="299">
        <v>16</v>
      </c>
    </row>
    <row r="54" spans="1:29" ht="15.75" customHeight="1">
      <c r="N54" s="280" t="s">
        <v>266</v>
      </c>
      <c r="Q54" s="279"/>
      <c r="X54" s="327">
        <v>14</v>
      </c>
      <c r="Y54" s="330">
        <f>X54*X54*3.1416/4*8/100</f>
        <v>12.315072000000001</v>
      </c>
      <c r="Z54" s="329">
        <f>X54*X54*3.1416/4*5/100</f>
        <v>7.6969200000000004</v>
      </c>
      <c r="AA54" s="329">
        <f>X54*X54*3.1416/4*4/100</f>
        <v>6.1575360000000003</v>
      </c>
      <c r="AB54" s="328">
        <f>X54*X54*3.1416/4*3.3333/100</f>
        <v>5.1312286872000001</v>
      </c>
      <c r="AC54" s="327">
        <v>14</v>
      </c>
    </row>
    <row r="55" spans="1:29" ht="15.75" customHeight="1">
      <c r="N55" s="280" t="s">
        <v>264</v>
      </c>
      <c r="O55" s="282">
        <f>O12*10-O62-O60-O59-O50/2-O51-O52-O50/2</f>
        <v>1054</v>
      </c>
      <c r="P55" s="257" t="s">
        <v>90</v>
      </c>
      <c r="Q55" s="279"/>
      <c r="X55" s="299">
        <v>12</v>
      </c>
      <c r="Y55" s="298">
        <f>X55*X55*3.1416/4*8/100</f>
        <v>9.0478079999999999</v>
      </c>
      <c r="Z55" s="297">
        <f>X55*X55*3.1416/4*5/100</f>
        <v>5.6548800000000004</v>
      </c>
      <c r="AA55" s="297">
        <f>X55*X55*3.1416/4*4/100</f>
        <v>4.5239039999999999</v>
      </c>
      <c r="AB55" s="296">
        <f>X55*X55*3.1416/4*3.3333/100</f>
        <v>3.7698823008</v>
      </c>
      <c r="AC55" s="299">
        <v>12</v>
      </c>
    </row>
    <row r="56" spans="1:29" ht="15.75" customHeight="1" thickBot="1">
      <c r="N56" s="280" t="s">
        <v>265</v>
      </c>
      <c r="Q56" s="279"/>
      <c r="X56" s="295">
        <v>10</v>
      </c>
      <c r="Y56" s="304">
        <f>X56*X56*3.1416/4*8/100</f>
        <v>6.283199999999999</v>
      </c>
      <c r="Z56" s="259">
        <f>X56*X56*3.1416/4*5/100</f>
        <v>3.9269999999999992</v>
      </c>
      <c r="AA56" s="259">
        <f>X56*X56*3.1416/4*4/100</f>
        <v>3.1415999999999995</v>
      </c>
      <c r="AB56" s="303">
        <f>X56*X56*3.1416/4*3.3333/100</f>
        <v>2.6179738199999996</v>
      </c>
      <c r="AC56" s="295">
        <v>10</v>
      </c>
    </row>
    <row r="57" spans="1:29" ht="15.75" customHeight="1">
      <c r="N57" s="280" t="s">
        <v>264</v>
      </c>
      <c r="O57" s="282">
        <f>O12*10-O62-O60-O50/2-O51-O52-O53-O50/2</f>
        <v>1054</v>
      </c>
      <c r="P57" s="257" t="s">
        <v>90</v>
      </c>
      <c r="Q57" s="279"/>
      <c r="X57" s="299">
        <v>8</v>
      </c>
      <c r="Y57" s="311">
        <f>X57*X57*3.1416/4*8/100</f>
        <v>4.0212479999999999</v>
      </c>
      <c r="Z57" s="310">
        <f>X57*X57*3.1416/4*5/100</f>
        <v>2.51328</v>
      </c>
      <c r="AA57" s="310">
        <f>X57*X57*3.1416/4*4/100</f>
        <v>2.010624</v>
      </c>
      <c r="AB57" s="309">
        <f>X57*X57*3.1416/4*3.3333/100</f>
        <v>1.6755032448</v>
      </c>
      <c r="AC57" s="299">
        <v>8</v>
      </c>
    </row>
    <row r="58" spans="1:29" ht="15.75" customHeight="1">
      <c r="A58" s="257" t="s">
        <v>263</v>
      </c>
      <c r="N58" s="280"/>
      <c r="Q58" s="279"/>
      <c r="T58" s="257">
        <v>180</v>
      </c>
      <c r="V58" s="257">
        <v>180</v>
      </c>
    </row>
    <row r="59" spans="1:29" ht="15.75" customHeight="1">
      <c r="N59" s="280" t="s">
        <v>262</v>
      </c>
      <c r="O59" s="281">
        <v>12</v>
      </c>
      <c r="P59" s="257" t="s">
        <v>90</v>
      </c>
      <c r="Q59" s="279" t="s">
        <v>261</v>
      </c>
    </row>
    <row r="60" spans="1:29" ht="15.75" customHeight="1">
      <c r="A60" s="257" t="s">
        <v>256</v>
      </c>
      <c r="B60" s="267">
        <v>10</v>
      </c>
      <c r="C60" s="267">
        <v>250</v>
      </c>
      <c r="F60" s="257" t="str">
        <f>A60</f>
        <v>фон</v>
      </c>
      <c r="G60" s="257">
        <f>B60</f>
        <v>10</v>
      </c>
      <c r="H60" s="257">
        <f>C60</f>
        <v>250</v>
      </c>
      <c r="N60" s="280" t="s">
        <v>260</v>
      </c>
      <c r="O60" s="281">
        <v>12</v>
      </c>
      <c r="P60" s="257" t="s">
        <v>90</v>
      </c>
      <c r="Q60" s="279" t="s">
        <v>259</v>
      </c>
      <c r="T60" s="257">
        <v>-20</v>
      </c>
      <c r="V60" s="257">
        <v>-20</v>
      </c>
    </row>
    <row r="61" spans="1:29" ht="15.75" customHeight="1">
      <c r="N61" s="280"/>
      <c r="Q61" s="279"/>
      <c r="T61" s="257">
        <v>-16</v>
      </c>
      <c r="V61" s="257">
        <v>-16</v>
      </c>
    </row>
    <row r="62" spans="1:29" ht="15.75" customHeight="1">
      <c r="A62" s="261"/>
      <c r="B62" s="266">
        <v>10</v>
      </c>
      <c r="C62" s="265">
        <v>12</v>
      </c>
      <c r="D62" s="266">
        <v>10</v>
      </c>
      <c r="E62" s="264">
        <v>16</v>
      </c>
      <c r="F62" s="265">
        <v>12</v>
      </c>
      <c r="G62" s="264">
        <v>16</v>
      </c>
      <c r="H62" s="264">
        <v>16</v>
      </c>
      <c r="I62" s="263">
        <v>20</v>
      </c>
      <c r="N62" s="278" t="s">
        <v>127</v>
      </c>
      <c r="O62" s="277">
        <f>O14*10</f>
        <v>50</v>
      </c>
      <c r="P62" s="276" t="s">
        <v>90</v>
      </c>
      <c r="Q62" s="275" t="s">
        <v>128</v>
      </c>
      <c r="T62" s="257">
        <v>-12</v>
      </c>
      <c r="V62" s="257">
        <v>0</v>
      </c>
    </row>
    <row r="63" spans="1:29" ht="15.75" customHeight="1" thickBot="1">
      <c r="A63" s="261"/>
      <c r="B63" s="260">
        <v>250</v>
      </c>
      <c r="C63" s="260">
        <v>250</v>
      </c>
      <c r="D63" s="260">
        <v>125</v>
      </c>
      <c r="E63" s="260">
        <v>250</v>
      </c>
      <c r="F63" s="260">
        <v>125</v>
      </c>
      <c r="G63" s="260">
        <v>125</v>
      </c>
      <c r="H63" s="260">
        <v>83.33</v>
      </c>
      <c r="I63" s="260">
        <v>250</v>
      </c>
      <c r="N63" s="274"/>
      <c r="O63" s="273"/>
      <c r="P63" s="273"/>
      <c r="Q63" s="272"/>
      <c r="T63" s="257">
        <v>-4</v>
      </c>
      <c r="V63" s="257">
        <v>-4</v>
      </c>
    </row>
    <row r="64" spans="1:29" ht="15.75" customHeight="1">
      <c r="A64" s="259">
        <f>B60*B60*3.1416/4*1000/C60/100</f>
        <v>3.1415999999999995</v>
      </c>
      <c r="B64" s="259">
        <f>$A64+B62*B62*3.1416/4*1000/B63/100</f>
        <v>6.283199999999999</v>
      </c>
      <c r="C64" s="259">
        <f t="shared" ref="C64:H64" si="3">$A$64+C62*C62*3.1416/4*1000/C63/100</f>
        <v>7.6655039999999994</v>
      </c>
      <c r="D64" s="259">
        <f t="shared" si="3"/>
        <v>9.4247999999999976</v>
      </c>
      <c r="E64" s="259">
        <f t="shared" si="3"/>
        <v>11.184096</v>
      </c>
      <c r="F64" s="259">
        <f t="shared" si="3"/>
        <v>12.189408</v>
      </c>
      <c r="G64" s="259">
        <f t="shared" si="3"/>
        <v>19.226592</v>
      </c>
      <c r="H64" s="259">
        <f t="shared" si="3"/>
        <v>27.270053138125522</v>
      </c>
      <c r="I64" s="259">
        <f>$A64+I62*I62*3.1416/4*1000/I63/100</f>
        <v>15.707999999999998</v>
      </c>
    </row>
    <row r="65" spans="1:22" ht="15.75" customHeight="1">
      <c r="T65" s="257">
        <v>-4</v>
      </c>
      <c r="V65" s="257">
        <v>-4</v>
      </c>
    </row>
    <row r="66" spans="1:22" ht="15.75" customHeight="1">
      <c r="A66" s="257" t="s">
        <v>256</v>
      </c>
      <c r="B66" s="267">
        <v>8</v>
      </c>
      <c r="C66" s="267">
        <v>250</v>
      </c>
      <c r="F66" s="257" t="str">
        <f>A66</f>
        <v>фон</v>
      </c>
      <c r="G66" s="257">
        <f>B66</f>
        <v>8</v>
      </c>
      <c r="H66" s="257">
        <f>C66</f>
        <v>250</v>
      </c>
      <c r="T66" s="257">
        <v>0</v>
      </c>
      <c r="V66" s="257">
        <v>-10</v>
      </c>
    </row>
    <row r="67" spans="1:22" ht="15.75" customHeight="1">
      <c r="T67" s="257">
        <v>-10</v>
      </c>
      <c r="V67" s="257">
        <v>-10</v>
      </c>
    </row>
    <row r="68" spans="1:22" ht="15.75" customHeight="1">
      <c r="A68" s="261"/>
      <c r="B68" s="271">
        <v>8</v>
      </c>
      <c r="C68" s="266">
        <v>10</v>
      </c>
      <c r="D68" s="271">
        <v>8</v>
      </c>
      <c r="E68" s="265">
        <v>12</v>
      </c>
      <c r="F68" s="266">
        <v>10</v>
      </c>
      <c r="G68" s="264">
        <v>16</v>
      </c>
      <c r="H68" s="265">
        <v>12</v>
      </c>
      <c r="I68" s="264">
        <v>16</v>
      </c>
      <c r="J68" s="264">
        <v>16</v>
      </c>
      <c r="T68" s="257">
        <v>-30</v>
      </c>
      <c r="V68" s="257">
        <v>-30</v>
      </c>
    </row>
    <row r="69" spans="1:22" ht="15.75" customHeight="1">
      <c r="A69" s="261"/>
      <c r="B69" s="260">
        <v>250</v>
      </c>
      <c r="C69" s="260">
        <v>250</v>
      </c>
      <c r="D69" s="260">
        <v>125</v>
      </c>
      <c r="E69" s="260">
        <v>250</v>
      </c>
      <c r="F69" s="260">
        <v>125</v>
      </c>
      <c r="G69" s="260">
        <v>250</v>
      </c>
      <c r="H69" s="260">
        <v>125</v>
      </c>
      <c r="I69" s="260">
        <v>125</v>
      </c>
      <c r="J69" s="260">
        <v>83.33</v>
      </c>
    </row>
    <row r="70" spans="1:22" ht="15.75" customHeight="1">
      <c r="A70" s="259">
        <f>B66*B66*3.1416/4*1000/C66/100</f>
        <v>2.010624</v>
      </c>
      <c r="B70" s="259">
        <f t="shared" ref="B70:J70" si="4">$A70+B68*B68*3.1416/4*1000/B69/100</f>
        <v>4.0212479999999999</v>
      </c>
      <c r="C70" s="259">
        <f t="shared" si="4"/>
        <v>5.1522239999999995</v>
      </c>
      <c r="D70" s="259">
        <f t="shared" si="4"/>
        <v>6.0318719999999999</v>
      </c>
      <c r="E70" s="259">
        <f t="shared" si="4"/>
        <v>6.5345279999999999</v>
      </c>
      <c r="F70" s="259">
        <f t="shared" si="4"/>
        <v>8.293823999999999</v>
      </c>
      <c r="G70" s="259">
        <f t="shared" si="4"/>
        <v>10.05312</v>
      </c>
      <c r="H70" s="259">
        <f t="shared" si="4"/>
        <v>11.058432</v>
      </c>
      <c r="I70" s="259">
        <f t="shared" si="4"/>
        <v>18.095616</v>
      </c>
      <c r="J70" s="259">
        <f t="shared" si="4"/>
        <v>26.139077138125522</v>
      </c>
      <c r="T70" s="257">
        <f>SUM(T58:T68)</f>
        <v>84</v>
      </c>
      <c r="V70" s="257">
        <f>SUM(V58:V68)</f>
        <v>86</v>
      </c>
    </row>
    <row r="71" spans="1:22" ht="15.75" customHeight="1"/>
    <row r="72" spans="1:22" ht="15.75" customHeight="1"/>
    <row r="73" spans="1:22" ht="15.75" customHeight="1">
      <c r="A73" s="257" t="s">
        <v>256</v>
      </c>
      <c r="B73" s="267">
        <v>12</v>
      </c>
      <c r="C73" s="267">
        <v>250</v>
      </c>
      <c r="F73" s="257" t="str">
        <f>A73</f>
        <v>фон</v>
      </c>
      <c r="G73" s="257">
        <f>B73</f>
        <v>12</v>
      </c>
      <c r="H73" s="257">
        <f>C73</f>
        <v>250</v>
      </c>
    </row>
    <row r="74" spans="1:22" ht="15.75" customHeight="1"/>
    <row r="75" spans="1:22" ht="15.75" customHeight="1">
      <c r="A75" s="261"/>
      <c r="B75" s="266">
        <v>10</v>
      </c>
      <c r="C75" s="265">
        <v>12</v>
      </c>
      <c r="D75" s="266">
        <v>10</v>
      </c>
      <c r="E75" s="264">
        <v>16</v>
      </c>
      <c r="F75" s="265">
        <v>12</v>
      </c>
      <c r="G75" s="263">
        <v>20</v>
      </c>
      <c r="H75" s="264">
        <v>16</v>
      </c>
      <c r="I75" s="262">
        <v>25</v>
      </c>
      <c r="J75" s="264">
        <v>16</v>
      </c>
      <c r="K75" s="263">
        <v>20</v>
      </c>
      <c r="L75" s="262">
        <v>25</v>
      </c>
    </row>
    <row r="76" spans="1:22" ht="15.75" customHeight="1">
      <c r="A76" s="261"/>
      <c r="B76" s="260">
        <v>250</v>
      </c>
      <c r="C76" s="260">
        <v>250</v>
      </c>
      <c r="D76" s="260">
        <v>125</v>
      </c>
      <c r="E76" s="260">
        <v>250</v>
      </c>
      <c r="F76" s="260">
        <v>125</v>
      </c>
      <c r="G76" s="260">
        <v>250</v>
      </c>
      <c r="H76" s="260">
        <v>125</v>
      </c>
      <c r="I76" s="260">
        <v>250</v>
      </c>
      <c r="J76" s="260">
        <v>83.33</v>
      </c>
      <c r="K76" s="260">
        <v>125</v>
      </c>
      <c r="L76" s="260">
        <v>125</v>
      </c>
    </row>
    <row r="77" spans="1:22" ht="15.75" customHeight="1">
      <c r="A77" s="259">
        <f>B73*B73*3.1416/4*1000/C73/100</f>
        <v>4.5239039999999999</v>
      </c>
      <c r="B77" s="259">
        <f t="shared" ref="B77:L77" si="5">$A77+B75*B75*3.1416/4*1000/B76/100</f>
        <v>7.6655039999999994</v>
      </c>
      <c r="C77" s="259">
        <f t="shared" si="5"/>
        <v>9.0478079999999999</v>
      </c>
      <c r="D77" s="259">
        <f t="shared" si="5"/>
        <v>10.807103999999999</v>
      </c>
      <c r="E77" s="259">
        <f t="shared" si="5"/>
        <v>12.5664</v>
      </c>
      <c r="F77" s="259">
        <f t="shared" si="5"/>
        <v>13.571712</v>
      </c>
      <c r="G77" s="259">
        <f t="shared" si="5"/>
        <v>17.090303999999996</v>
      </c>
      <c r="H77" s="259">
        <f t="shared" si="5"/>
        <v>20.608896000000001</v>
      </c>
      <c r="I77" s="259">
        <f t="shared" si="5"/>
        <v>24.158904</v>
      </c>
      <c r="J77" s="259">
        <f t="shared" si="5"/>
        <v>28.652357138125524</v>
      </c>
      <c r="K77" s="259">
        <f t="shared" si="5"/>
        <v>29.656703999999998</v>
      </c>
      <c r="L77" s="259">
        <f t="shared" si="5"/>
        <v>43.793904000000005</v>
      </c>
    </row>
    <row r="78" spans="1:22" ht="15.75" customHeight="1"/>
    <row r="79" spans="1:22" ht="15.75" customHeight="1"/>
    <row r="80" spans="1:22" ht="15.75" customHeight="1">
      <c r="A80" s="257" t="s">
        <v>256</v>
      </c>
      <c r="B80" s="267">
        <v>16</v>
      </c>
      <c r="C80" s="267">
        <v>250</v>
      </c>
      <c r="F80" s="257" t="str">
        <f>A80</f>
        <v>фон</v>
      </c>
      <c r="G80" s="257">
        <f>B80</f>
        <v>16</v>
      </c>
      <c r="H80" s="257">
        <f>C80</f>
        <v>250</v>
      </c>
    </row>
    <row r="81" spans="1:25" ht="15.75" customHeight="1"/>
    <row r="82" spans="1:25" ht="15.75" customHeight="1">
      <c r="A82" s="261"/>
      <c r="B82" s="266">
        <v>10</v>
      </c>
      <c r="C82" s="265">
        <v>12</v>
      </c>
      <c r="D82" s="266">
        <v>10</v>
      </c>
      <c r="E82" s="264">
        <v>16</v>
      </c>
      <c r="F82" s="265">
        <v>12</v>
      </c>
      <c r="G82" s="263">
        <v>20</v>
      </c>
      <c r="H82" s="264">
        <v>16</v>
      </c>
      <c r="I82" s="262">
        <v>25</v>
      </c>
      <c r="J82" s="264">
        <v>16</v>
      </c>
      <c r="K82" s="263">
        <v>20</v>
      </c>
      <c r="L82" s="262">
        <v>25</v>
      </c>
    </row>
    <row r="83" spans="1:25" ht="15.75" customHeight="1">
      <c r="A83" s="261"/>
      <c r="B83" s="260">
        <v>250</v>
      </c>
      <c r="C83" s="260">
        <v>250</v>
      </c>
      <c r="D83" s="260">
        <v>125</v>
      </c>
      <c r="E83" s="260">
        <v>250</v>
      </c>
      <c r="F83" s="260">
        <v>125</v>
      </c>
      <c r="G83" s="260">
        <v>250</v>
      </c>
      <c r="H83" s="260">
        <v>125</v>
      </c>
      <c r="I83" s="260">
        <v>250</v>
      </c>
      <c r="J83" s="260">
        <v>83.33</v>
      </c>
      <c r="K83" s="260">
        <v>125</v>
      </c>
      <c r="L83" s="260">
        <v>125</v>
      </c>
    </row>
    <row r="84" spans="1:25" ht="15.75" customHeight="1">
      <c r="A84" s="259">
        <f>B80*B80*3.1416/4*1000/C80/100</f>
        <v>8.0424959999999999</v>
      </c>
      <c r="B84" s="259">
        <f t="shared" ref="B84:L84" si="6">$A84+B82*B82*3.1416/4*1000/B83/100</f>
        <v>11.184096</v>
      </c>
      <c r="C84" s="259">
        <f t="shared" si="6"/>
        <v>12.5664</v>
      </c>
      <c r="D84" s="259">
        <f t="shared" si="6"/>
        <v>14.325695999999999</v>
      </c>
      <c r="E84" s="259">
        <f t="shared" si="6"/>
        <v>16.084992</v>
      </c>
      <c r="F84" s="259">
        <f t="shared" si="6"/>
        <v>17.090304</v>
      </c>
      <c r="G84" s="259">
        <f t="shared" si="6"/>
        <v>20.608895999999998</v>
      </c>
      <c r="H84" s="259">
        <f t="shared" si="6"/>
        <v>24.127488</v>
      </c>
      <c r="I84" s="259">
        <f t="shared" si="6"/>
        <v>27.677496000000001</v>
      </c>
      <c r="J84" s="259">
        <f t="shared" si="6"/>
        <v>32.170949138125522</v>
      </c>
      <c r="K84" s="259">
        <f t="shared" si="6"/>
        <v>33.175295999999996</v>
      </c>
      <c r="L84" s="259">
        <f t="shared" si="6"/>
        <v>47.312496000000003</v>
      </c>
    </row>
    <row r="85" spans="1:25" ht="15.75" customHeight="1"/>
    <row r="86" spans="1:25" ht="15.75" customHeight="1"/>
    <row r="87" spans="1:25" ht="15.75" customHeight="1">
      <c r="A87" s="257" t="s">
        <v>256</v>
      </c>
      <c r="B87" s="263">
        <v>20</v>
      </c>
      <c r="C87" s="267">
        <v>250</v>
      </c>
      <c r="F87" s="257" t="str">
        <f>A87</f>
        <v>фон</v>
      </c>
      <c r="G87" s="263">
        <f>B87</f>
        <v>20</v>
      </c>
      <c r="H87" s="257">
        <f>C87</f>
        <v>250</v>
      </c>
      <c r="K87" s="257" t="str">
        <f>F87</f>
        <v>фон</v>
      </c>
      <c r="L87" s="263">
        <f>G87</f>
        <v>20</v>
      </c>
      <c r="M87" s="257">
        <f>H87</f>
        <v>250</v>
      </c>
      <c r="P87" s="257" t="str">
        <f>K87</f>
        <v>фон</v>
      </c>
      <c r="Q87" s="263">
        <f>L87</f>
        <v>20</v>
      </c>
      <c r="R87" s="257">
        <f>M87</f>
        <v>250</v>
      </c>
    </row>
    <row r="88" spans="1:25" ht="15.75" customHeight="1"/>
    <row r="89" spans="1:25" ht="15.75" customHeight="1">
      <c r="A89" s="261"/>
      <c r="B89" s="264">
        <v>16</v>
      </c>
      <c r="C89" s="264">
        <v>16</v>
      </c>
      <c r="D89" s="263">
        <v>20</v>
      </c>
      <c r="E89" s="263">
        <v>20</v>
      </c>
      <c r="F89" s="264">
        <v>16</v>
      </c>
      <c r="G89" s="262">
        <v>25</v>
      </c>
      <c r="H89" s="262">
        <v>25</v>
      </c>
      <c r="I89" s="262">
        <v>25</v>
      </c>
      <c r="K89" s="264">
        <v>16</v>
      </c>
      <c r="L89" s="263">
        <v>20</v>
      </c>
      <c r="M89" s="263">
        <v>20</v>
      </c>
      <c r="N89" s="263">
        <v>20</v>
      </c>
      <c r="O89" s="263">
        <v>20</v>
      </c>
      <c r="P89" s="265">
        <v>28</v>
      </c>
      <c r="Q89" s="265">
        <v>28</v>
      </c>
      <c r="R89" s="266">
        <v>32</v>
      </c>
      <c r="S89" s="266">
        <v>32</v>
      </c>
      <c r="T89" s="266">
        <v>32</v>
      </c>
      <c r="U89" s="266">
        <v>32</v>
      </c>
      <c r="V89" s="266">
        <v>32</v>
      </c>
      <c r="W89" s="262">
        <v>25</v>
      </c>
      <c r="X89" s="265">
        <v>28</v>
      </c>
      <c r="Y89" s="266">
        <v>32</v>
      </c>
    </row>
    <row r="90" spans="1:25" ht="15.75" customHeight="1">
      <c r="A90" s="261"/>
      <c r="B90" s="260">
        <v>250</v>
      </c>
      <c r="C90" s="260">
        <v>250</v>
      </c>
      <c r="D90" s="260">
        <v>250</v>
      </c>
      <c r="E90" s="260">
        <v>250</v>
      </c>
      <c r="F90" s="270">
        <v>125</v>
      </c>
      <c r="G90" s="260">
        <v>250</v>
      </c>
      <c r="H90" s="260">
        <v>250</v>
      </c>
      <c r="I90" s="260">
        <v>250</v>
      </c>
      <c r="K90" s="260">
        <v>83.33</v>
      </c>
      <c r="L90" s="270">
        <v>125</v>
      </c>
      <c r="M90" s="270">
        <v>125</v>
      </c>
      <c r="N90" s="270">
        <v>125</v>
      </c>
      <c r="O90" s="270">
        <v>125</v>
      </c>
      <c r="P90" s="260">
        <v>250</v>
      </c>
      <c r="Q90" s="260">
        <v>250</v>
      </c>
      <c r="R90" s="260">
        <v>250</v>
      </c>
      <c r="S90" s="260">
        <v>250</v>
      </c>
      <c r="T90" s="260">
        <v>250</v>
      </c>
      <c r="U90" s="260">
        <v>250</v>
      </c>
      <c r="V90" s="260">
        <v>250</v>
      </c>
      <c r="W90" s="270">
        <v>125</v>
      </c>
      <c r="X90" s="270">
        <v>125</v>
      </c>
      <c r="Y90" s="270">
        <v>125</v>
      </c>
    </row>
    <row r="91" spans="1:25" ht="15.75" customHeight="1">
      <c r="A91" s="259">
        <f>B87*B87*3.1416/4*1000/C87/100</f>
        <v>12.566399999999998</v>
      </c>
      <c r="B91" s="259">
        <f t="shared" ref="B91:I91" si="7">$A91+B89*B89*3.1416/4*1000/B90/100</f>
        <v>20.608895999999998</v>
      </c>
      <c r="C91" s="259">
        <f t="shared" si="7"/>
        <v>20.608895999999998</v>
      </c>
      <c r="D91" s="259">
        <f t="shared" si="7"/>
        <v>25.132799999999996</v>
      </c>
      <c r="E91" s="259">
        <f t="shared" si="7"/>
        <v>25.132799999999996</v>
      </c>
      <c r="F91" s="259">
        <f t="shared" si="7"/>
        <v>28.651391999999998</v>
      </c>
      <c r="G91" s="259">
        <f t="shared" si="7"/>
        <v>32.2014</v>
      </c>
      <c r="H91" s="259">
        <f t="shared" si="7"/>
        <v>32.2014</v>
      </c>
      <c r="I91" s="259">
        <f t="shared" si="7"/>
        <v>32.2014</v>
      </c>
      <c r="K91" s="259">
        <f t="shared" ref="K91:Y91" si="8">$A91+K89*K89*3.1416/4*1000/K90/100</f>
        <v>36.694853138125524</v>
      </c>
      <c r="L91" s="259">
        <f t="shared" si="8"/>
        <v>37.69919999999999</v>
      </c>
      <c r="M91" s="259">
        <f t="shared" si="8"/>
        <v>37.69919999999999</v>
      </c>
      <c r="N91" s="259">
        <f t="shared" si="8"/>
        <v>37.69919999999999</v>
      </c>
      <c r="O91" s="259">
        <f t="shared" si="8"/>
        <v>37.69919999999999</v>
      </c>
      <c r="P91" s="259">
        <f t="shared" si="8"/>
        <v>37.196544000000003</v>
      </c>
      <c r="Q91" s="259">
        <f t="shared" si="8"/>
        <v>37.196544000000003</v>
      </c>
      <c r="R91" s="259">
        <f t="shared" si="8"/>
        <v>44.736384000000001</v>
      </c>
      <c r="S91" s="259">
        <f t="shared" si="8"/>
        <v>44.736384000000001</v>
      </c>
      <c r="T91" s="259">
        <f t="shared" si="8"/>
        <v>44.736384000000001</v>
      </c>
      <c r="U91" s="259">
        <f t="shared" si="8"/>
        <v>44.736384000000001</v>
      </c>
      <c r="V91" s="259">
        <f t="shared" si="8"/>
        <v>44.736384000000001</v>
      </c>
      <c r="W91" s="259">
        <f t="shared" si="8"/>
        <v>51.836399999999998</v>
      </c>
      <c r="X91" s="259">
        <f t="shared" si="8"/>
        <v>61.826688000000004</v>
      </c>
      <c r="Y91" s="259">
        <f t="shared" si="8"/>
        <v>76.906368000000001</v>
      </c>
    </row>
    <row r="92" spans="1:25" ht="15.75" customHeight="1">
      <c r="C92" s="269" t="s">
        <v>258</v>
      </c>
      <c r="E92" s="269" t="s">
        <v>258</v>
      </c>
      <c r="H92" s="269" t="s">
        <v>258</v>
      </c>
      <c r="I92" s="269" t="s">
        <v>258</v>
      </c>
      <c r="M92" s="269" t="s">
        <v>258</v>
      </c>
      <c r="N92" s="269" t="s">
        <v>258</v>
      </c>
      <c r="O92" s="269" t="s">
        <v>258</v>
      </c>
      <c r="P92" s="269" t="s">
        <v>258</v>
      </c>
      <c r="Q92" s="269" t="s">
        <v>258</v>
      </c>
      <c r="R92" s="269" t="s">
        <v>258</v>
      </c>
      <c r="S92" s="269" t="s">
        <v>258</v>
      </c>
      <c r="T92" s="269" t="s">
        <v>258</v>
      </c>
      <c r="U92" s="269" t="s">
        <v>258</v>
      </c>
      <c r="V92" s="269" t="s">
        <v>258</v>
      </c>
    </row>
    <row r="93" spans="1:25" ht="15.75" customHeight="1">
      <c r="C93" s="262">
        <v>25</v>
      </c>
      <c r="E93" s="262">
        <v>25</v>
      </c>
      <c r="H93" s="263">
        <v>20</v>
      </c>
      <c r="I93" s="262">
        <v>25</v>
      </c>
      <c r="M93" s="263">
        <v>20</v>
      </c>
      <c r="N93" s="265">
        <v>28</v>
      </c>
      <c r="O93" s="266">
        <v>32</v>
      </c>
      <c r="P93" s="265">
        <v>28</v>
      </c>
      <c r="Q93" s="265">
        <v>28</v>
      </c>
      <c r="R93" s="262">
        <v>25</v>
      </c>
      <c r="S93" s="263">
        <v>20</v>
      </c>
      <c r="T93" s="265">
        <v>28</v>
      </c>
      <c r="U93" s="266">
        <v>32</v>
      </c>
      <c r="V93" s="265">
        <v>28</v>
      </c>
    </row>
    <row r="94" spans="1:25" ht="15.75" customHeight="1">
      <c r="C94" s="260">
        <v>250</v>
      </c>
      <c r="E94" s="260">
        <v>250</v>
      </c>
      <c r="H94" s="260">
        <v>250</v>
      </c>
      <c r="I94" s="260">
        <v>250</v>
      </c>
      <c r="M94" s="260">
        <v>250</v>
      </c>
      <c r="N94" s="260">
        <v>250</v>
      </c>
      <c r="O94" s="260">
        <v>250</v>
      </c>
      <c r="P94" s="260">
        <v>250</v>
      </c>
      <c r="Q94" s="270">
        <v>125</v>
      </c>
      <c r="R94" s="260">
        <v>250</v>
      </c>
      <c r="S94" s="270">
        <v>125</v>
      </c>
      <c r="T94" s="260">
        <v>250</v>
      </c>
      <c r="U94" s="260">
        <v>250</v>
      </c>
      <c r="V94" s="270">
        <v>125</v>
      </c>
    </row>
    <row r="95" spans="1:25" ht="15.75" customHeight="1">
      <c r="C95" s="259">
        <f>C93*C93*3.1416/4*1000/C94/100</f>
        <v>19.635000000000002</v>
      </c>
      <c r="E95" s="259">
        <f>E93*E93*3.1416/4*1000/E94/100</f>
        <v>19.635000000000002</v>
      </c>
      <c r="H95" s="259">
        <f>$A95+H93*H93*3.1416/4*1000/H94/100</f>
        <v>12.566399999999998</v>
      </c>
      <c r="I95" s="259">
        <f>I93*I93*3.1416/4*1000/I94/100</f>
        <v>19.635000000000002</v>
      </c>
      <c r="M95" s="259">
        <f>$A95+M93*M93*3.1416/4*1000/M94/100</f>
        <v>12.566399999999998</v>
      </c>
      <c r="N95" s="259">
        <f>$A95+N93*N93*3.1416/4*1000/N94/100</f>
        <v>24.630144000000001</v>
      </c>
      <c r="O95" s="259">
        <f>$A95+O93*O93*3.1416/4*1000/O94/100</f>
        <v>32.169983999999999</v>
      </c>
      <c r="P95" s="259">
        <f>$A95+P93*P93*3.1416/4*1000/P94/100</f>
        <v>24.630144000000001</v>
      </c>
      <c r="Q95" s="259">
        <f>$A95+Q93*Q93*3.1416/4*1000/Q94/100</f>
        <v>49.260288000000003</v>
      </c>
      <c r="R95" s="259">
        <f>R93*R93*3.1416/4*1000/R94/100</f>
        <v>19.635000000000002</v>
      </c>
      <c r="S95" s="259">
        <f>$A95+S93*S93*3.1416/4*1000/S94/100</f>
        <v>25.132799999999996</v>
      </c>
      <c r="T95" s="259">
        <f>$A95+T93*T93*3.1416/4*1000/T94/100</f>
        <v>24.630144000000001</v>
      </c>
      <c r="U95" s="259">
        <f>$A95+U93*U93*3.1416/4*1000/U94/100</f>
        <v>32.169983999999999</v>
      </c>
      <c r="V95" s="259">
        <f>$A95+V93*V93*3.1416/4*1000/V94/100</f>
        <v>49.260288000000003</v>
      </c>
    </row>
    <row r="96" spans="1:25" ht="15.75" customHeight="1">
      <c r="C96" s="269" t="s">
        <v>257</v>
      </c>
      <c r="E96" s="269" t="s">
        <v>257</v>
      </c>
      <c r="H96" s="269" t="s">
        <v>257</v>
      </c>
      <c r="I96" s="269" t="s">
        <v>257</v>
      </c>
      <c r="M96" s="269" t="s">
        <v>257</v>
      </c>
      <c r="N96" s="269" t="s">
        <v>257</v>
      </c>
      <c r="O96" s="269" t="s">
        <v>257</v>
      </c>
      <c r="P96" s="269" t="s">
        <v>257</v>
      </c>
      <c r="Q96" s="269" t="s">
        <v>257</v>
      </c>
      <c r="R96" s="269" t="s">
        <v>257</v>
      </c>
      <c r="S96" s="269" t="s">
        <v>257</v>
      </c>
      <c r="T96" s="269" t="s">
        <v>257</v>
      </c>
      <c r="U96" s="269" t="s">
        <v>257</v>
      </c>
      <c r="V96" s="269" t="s">
        <v>257</v>
      </c>
    </row>
    <row r="97" spans="1:24" ht="15.75" customHeight="1">
      <c r="C97" s="268">
        <f>C91+C95</f>
        <v>40.243895999999999</v>
      </c>
      <c r="E97" s="268">
        <f>E91+E95</f>
        <v>44.767799999999994</v>
      </c>
      <c r="H97" s="268">
        <f>H91+H95</f>
        <v>44.767799999999994</v>
      </c>
      <c r="I97" s="268">
        <f>I91+I95</f>
        <v>51.836399999999998</v>
      </c>
      <c r="M97" s="268">
        <f t="shared" ref="M97:V97" si="9">M91+M95</f>
        <v>50.265599999999992</v>
      </c>
      <c r="N97" s="268">
        <f t="shared" si="9"/>
        <v>62.329343999999992</v>
      </c>
      <c r="O97" s="268">
        <f t="shared" si="9"/>
        <v>69.86918399999999</v>
      </c>
      <c r="P97" s="268">
        <f t="shared" si="9"/>
        <v>61.826688000000004</v>
      </c>
      <c r="Q97" s="268">
        <f t="shared" si="9"/>
        <v>86.456832000000006</v>
      </c>
      <c r="R97" s="268">
        <f t="shared" si="9"/>
        <v>64.371384000000006</v>
      </c>
      <c r="S97" s="268">
        <f t="shared" si="9"/>
        <v>69.86918399999999</v>
      </c>
      <c r="T97" s="268">
        <f t="shared" si="9"/>
        <v>69.366528000000002</v>
      </c>
      <c r="U97" s="268">
        <f t="shared" si="9"/>
        <v>76.906368000000001</v>
      </c>
      <c r="V97" s="268">
        <f t="shared" si="9"/>
        <v>93.996672000000004</v>
      </c>
    </row>
    <row r="98" spans="1:24" ht="15.75" customHeight="1"/>
    <row r="99" spans="1:24" ht="15.75" customHeight="1"/>
    <row r="100" spans="1:24" ht="15.75" customHeight="1"/>
    <row r="101" spans="1:24" ht="15.75" customHeight="1">
      <c r="A101" s="257" t="s">
        <v>256</v>
      </c>
      <c r="B101" s="262">
        <v>25</v>
      </c>
      <c r="C101" s="267">
        <v>250</v>
      </c>
      <c r="F101" s="257" t="str">
        <f>A101</f>
        <v>фон</v>
      </c>
      <c r="G101" s="262">
        <f>B101</f>
        <v>25</v>
      </c>
      <c r="H101" s="257">
        <f>C101</f>
        <v>250</v>
      </c>
      <c r="I101" s="257">
        <f>D101</f>
        <v>0</v>
      </c>
      <c r="K101" s="257" t="str">
        <f>F101</f>
        <v>фон</v>
      </c>
      <c r="L101" s="262">
        <f>G101</f>
        <v>25</v>
      </c>
      <c r="M101" s="257">
        <f>H101</f>
        <v>250</v>
      </c>
      <c r="Q101" s="257" t="str">
        <f>K101</f>
        <v>фон</v>
      </c>
      <c r="R101" s="262">
        <f>L101</f>
        <v>25</v>
      </c>
      <c r="S101" s="257">
        <f>M101</f>
        <v>250</v>
      </c>
    </row>
    <row r="102" spans="1:24" ht="15.75" customHeight="1"/>
    <row r="103" spans="1:24" ht="15.75" customHeight="1">
      <c r="A103" s="261"/>
      <c r="B103" s="264">
        <v>16</v>
      </c>
      <c r="C103" s="264">
        <v>16</v>
      </c>
      <c r="D103" s="263">
        <v>20</v>
      </c>
      <c r="E103" s="263">
        <v>20</v>
      </c>
      <c r="F103" s="262">
        <v>25</v>
      </c>
      <c r="G103" s="262">
        <v>25</v>
      </c>
      <c r="H103" s="262">
        <v>25</v>
      </c>
      <c r="I103" s="262">
        <v>25</v>
      </c>
      <c r="J103" s="262">
        <v>25</v>
      </c>
      <c r="K103" s="262">
        <v>25</v>
      </c>
      <c r="L103" s="262">
        <v>25</v>
      </c>
      <c r="M103" s="262">
        <v>25</v>
      </c>
      <c r="N103" s="263">
        <v>20</v>
      </c>
      <c r="O103" s="265">
        <v>28</v>
      </c>
      <c r="P103" s="265">
        <v>28</v>
      </c>
      <c r="Q103" s="265">
        <v>28</v>
      </c>
      <c r="R103" s="266">
        <v>32</v>
      </c>
      <c r="S103" s="266">
        <v>32</v>
      </c>
      <c r="T103" s="266">
        <v>32</v>
      </c>
      <c r="U103" s="262">
        <v>25</v>
      </c>
      <c r="V103" s="262">
        <v>25</v>
      </c>
      <c r="W103" s="265">
        <v>28</v>
      </c>
      <c r="X103" s="266">
        <v>32</v>
      </c>
    </row>
    <row r="104" spans="1:24" ht="15.75" customHeight="1">
      <c r="A104" s="261"/>
      <c r="B104" s="260">
        <v>250</v>
      </c>
      <c r="C104" s="260">
        <v>83.33</v>
      </c>
      <c r="D104" s="260">
        <v>250</v>
      </c>
      <c r="E104" s="260">
        <v>250</v>
      </c>
      <c r="F104" s="260">
        <v>250</v>
      </c>
      <c r="G104" s="260">
        <v>250</v>
      </c>
      <c r="H104" s="260">
        <v>250</v>
      </c>
      <c r="I104" s="260">
        <v>250</v>
      </c>
      <c r="J104" s="260">
        <v>250</v>
      </c>
      <c r="K104" s="260">
        <v>250</v>
      </c>
      <c r="L104" s="260">
        <v>250</v>
      </c>
      <c r="M104" s="260">
        <v>250</v>
      </c>
      <c r="N104" s="270">
        <v>125</v>
      </c>
      <c r="O104" s="260">
        <v>250</v>
      </c>
      <c r="P104" s="260">
        <v>250</v>
      </c>
      <c r="Q104" s="260">
        <v>250</v>
      </c>
      <c r="R104" s="260">
        <v>250</v>
      </c>
      <c r="S104" s="260">
        <v>250</v>
      </c>
      <c r="T104" s="260">
        <v>250</v>
      </c>
      <c r="U104" s="270">
        <v>125</v>
      </c>
      <c r="V104" s="270">
        <v>125</v>
      </c>
      <c r="W104" s="270">
        <v>125</v>
      </c>
      <c r="X104" s="270">
        <v>125</v>
      </c>
    </row>
    <row r="105" spans="1:24" ht="15.75" customHeight="1">
      <c r="A105" s="259">
        <f>B101*B101*3.1416/4*1000/C101/100</f>
        <v>19.635000000000002</v>
      </c>
      <c r="B105" s="259">
        <f t="shared" ref="B105:X105" si="10">$A105+B103*B103*3.1416/4*1000/B104/100</f>
        <v>27.677496000000001</v>
      </c>
      <c r="C105" s="259">
        <f t="shared" si="10"/>
        <v>43.763453138125527</v>
      </c>
      <c r="D105" s="259">
        <f t="shared" si="10"/>
        <v>32.2014</v>
      </c>
      <c r="E105" s="259">
        <f t="shared" si="10"/>
        <v>32.2014</v>
      </c>
      <c r="F105" s="259">
        <f t="shared" si="10"/>
        <v>39.270000000000003</v>
      </c>
      <c r="G105" s="259">
        <f t="shared" si="10"/>
        <v>39.270000000000003</v>
      </c>
      <c r="H105" s="259">
        <f t="shared" si="10"/>
        <v>39.270000000000003</v>
      </c>
      <c r="I105" s="259">
        <f t="shared" si="10"/>
        <v>39.270000000000003</v>
      </c>
      <c r="J105" s="259">
        <f t="shared" si="10"/>
        <v>39.270000000000003</v>
      </c>
      <c r="K105" s="259">
        <f t="shared" si="10"/>
        <v>39.270000000000003</v>
      </c>
      <c r="L105" s="259">
        <f t="shared" si="10"/>
        <v>39.270000000000003</v>
      </c>
      <c r="M105" s="259">
        <f t="shared" si="10"/>
        <v>39.270000000000003</v>
      </c>
      <c r="N105" s="259">
        <f t="shared" si="10"/>
        <v>44.767799999999994</v>
      </c>
      <c r="O105" s="259">
        <f t="shared" si="10"/>
        <v>44.265144000000006</v>
      </c>
      <c r="P105" s="259">
        <f t="shared" si="10"/>
        <v>44.265144000000006</v>
      </c>
      <c r="Q105" s="259">
        <f t="shared" si="10"/>
        <v>44.265144000000006</v>
      </c>
      <c r="R105" s="259">
        <f t="shared" si="10"/>
        <v>51.804984000000005</v>
      </c>
      <c r="S105" s="259">
        <f t="shared" si="10"/>
        <v>51.804984000000005</v>
      </c>
      <c r="T105" s="259">
        <f t="shared" si="10"/>
        <v>51.804984000000005</v>
      </c>
      <c r="U105" s="259">
        <f t="shared" si="10"/>
        <v>58.905000000000001</v>
      </c>
      <c r="V105" s="259">
        <f t="shared" si="10"/>
        <v>58.905000000000001</v>
      </c>
      <c r="W105" s="259">
        <f t="shared" si="10"/>
        <v>68.895288000000008</v>
      </c>
      <c r="X105" s="259">
        <f t="shared" si="10"/>
        <v>83.974968000000004</v>
      </c>
    </row>
    <row r="106" spans="1:24" ht="15.75" customHeight="1">
      <c r="D106" s="269" t="s">
        <v>258</v>
      </c>
      <c r="E106" s="269" t="s">
        <v>258</v>
      </c>
      <c r="G106" s="269" t="s">
        <v>258</v>
      </c>
      <c r="H106" s="269" t="s">
        <v>258</v>
      </c>
      <c r="I106" s="269" t="s">
        <v>258</v>
      </c>
      <c r="J106" s="269" t="s">
        <v>258</v>
      </c>
      <c r="K106" s="269" t="s">
        <v>258</v>
      </c>
      <c r="L106" s="269" t="s">
        <v>258</v>
      </c>
      <c r="M106" s="269" t="s">
        <v>258</v>
      </c>
      <c r="P106" s="269" t="s">
        <v>258</v>
      </c>
      <c r="Q106" s="269" t="s">
        <v>258</v>
      </c>
      <c r="S106" s="269" t="s">
        <v>258</v>
      </c>
      <c r="T106" s="269" t="s">
        <v>258</v>
      </c>
      <c r="V106" s="269" t="s">
        <v>258</v>
      </c>
    </row>
    <row r="107" spans="1:24" ht="15.75" customHeight="1">
      <c r="D107" s="265">
        <v>28</v>
      </c>
      <c r="E107" s="263">
        <v>20</v>
      </c>
      <c r="G107" s="263">
        <v>20</v>
      </c>
      <c r="H107" s="262">
        <v>25</v>
      </c>
      <c r="I107" s="262">
        <v>25</v>
      </c>
      <c r="J107" s="265">
        <v>28</v>
      </c>
      <c r="K107" s="265">
        <v>28</v>
      </c>
      <c r="L107" s="266">
        <v>32</v>
      </c>
      <c r="M107" s="266">
        <v>32</v>
      </c>
      <c r="P107" s="265">
        <v>28</v>
      </c>
      <c r="Q107" s="265">
        <v>28</v>
      </c>
      <c r="S107" s="265">
        <v>28</v>
      </c>
      <c r="T107" s="266">
        <v>32</v>
      </c>
      <c r="V107" s="266">
        <v>32</v>
      </c>
    </row>
    <row r="108" spans="1:24" ht="15.75" customHeight="1">
      <c r="D108" s="260">
        <v>250</v>
      </c>
      <c r="E108" s="270">
        <v>125</v>
      </c>
      <c r="G108" s="270">
        <v>125</v>
      </c>
      <c r="H108" s="260">
        <v>250</v>
      </c>
      <c r="I108" s="270">
        <v>125</v>
      </c>
      <c r="J108" s="260">
        <v>250</v>
      </c>
      <c r="K108" s="270">
        <v>125</v>
      </c>
      <c r="L108" s="260">
        <v>250</v>
      </c>
      <c r="M108" s="270">
        <v>125</v>
      </c>
      <c r="P108" s="260">
        <v>250</v>
      </c>
      <c r="Q108" s="260">
        <v>125</v>
      </c>
      <c r="S108" s="270">
        <v>125</v>
      </c>
      <c r="T108" s="260">
        <v>250</v>
      </c>
      <c r="V108" s="270">
        <v>125</v>
      </c>
    </row>
    <row r="109" spans="1:24" ht="15.75" customHeight="1">
      <c r="D109" s="259">
        <f>$A109+D107*D107*3.1416/4*1000/D108/100</f>
        <v>24.630144000000001</v>
      </c>
      <c r="E109" s="259">
        <f>$A109+E107*E107*3.1416/4*1000/E108/100</f>
        <v>25.132799999999996</v>
      </c>
      <c r="G109" s="259">
        <f>$A109+G107*G107*3.1416/4*1000/G108/100</f>
        <v>25.132799999999996</v>
      </c>
      <c r="H109" s="259">
        <f>H107*H107*3.1416/4*1000/H108/100</f>
        <v>19.635000000000002</v>
      </c>
      <c r="I109" s="259">
        <f>I107*I107*3.1416/4*1000/I108/100</f>
        <v>39.270000000000003</v>
      </c>
      <c r="J109" s="259">
        <f>$A109+J107*J107*3.1416/4*1000/J108/100</f>
        <v>24.630144000000001</v>
      </c>
      <c r="K109" s="259">
        <f>$A109+K107*K107*3.1416/4*1000/K108/100</f>
        <v>49.260288000000003</v>
      </c>
      <c r="L109" s="259">
        <f>$A109+L107*L107*3.1416/4*1000/L108/100</f>
        <v>32.169983999999999</v>
      </c>
      <c r="M109" s="259">
        <f>$A109+M107*M107*3.1416/4*1000/M108/100</f>
        <v>64.339967999999999</v>
      </c>
      <c r="P109" s="259">
        <f>$A109+P107*P107*3.1416/4*1000/P108/100</f>
        <v>24.630144000000001</v>
      </c>
      <c r="Q109" s="259">
        <f>$A109+Q107*Q107*3.1416/4*1000/Q108/100</f>
        <v>49.260288000000003</v>
      </c>
      <c r="S109" s="259">
        <f>$A109+S107*S107*3.1416/4*1000/S108/100</f>
        <v>49.260288000000003</v>
      </c>
      <c r="T109" s="259">
        <f>$A109+T107*T107*3.1416/4*1000/T108/100</f>
        <v>32.169983999999999</v>
      </c>
      <c r="V109" s="259">
        <f>$A109+V107*V107*3.1416/4*1000/V108/100</f>
        <v>64.339967999999999</v>
      </c>
    </row>
    <row r="110" spans="1:24" ht="15.75" customHeight="1">
      <c r="D110" s="269" t="s">
        <v>257</v>
      </c>
      <c r="E110" s="269" t="s">
        <v>257</v>
      </c>
      <c r="G110" s="269" t="s">
        <v>257</v>
      </c>
      <c r="H110" s="269" t="s">
        <v>257</v>
      </c>
      <c r="I110" s="269" t="s">
        <v>257</v>
      </c>
      <c r="J110" s="269" t="s">
        <v>257</v>
      </c>
      <c r="K110" s="269" t="s">
        <v>257</v>
      </c>
      <c r="L110" s="269" t="s">
        <v>257</v>
      </c>
      <c r="M110" s="269" t="s">
        <v>257</v>
      </c>
      <c r="P110" s="269" t="s">
        <v>257</v>
      </c>
      <c r="Q110" s="269" t="s">
        <v>257</v>
      </c>
      <c r="S110" s="269" t="s">
        <v>257</v>
      </c>
      <c r="T110" s="269" t="s">
        <v>257</v>
      </c>
      <c r="V110" s="269" t="s">
        <v>257</v>
      </c>
    </row>
    <row r="111" spans="1:24" ht="15.75" customHeight="1">
      <c r="D111" s="268">
        <f>D105+D109</f>
        <v>56.831544000000001</v>
      </c>
      <c r="E111" s="268">
        <f>E105+E109</f>
        <v>57.334199999999996</v>
      </c>
      <c r="G111" s="268">
        <f t="shared" ref="G111:M111" si="11">G105+G109</f>
        <v>64.402799999999999</v>
      </c>
      <c r="H111" s="268">
        <f t="shared" si="11"/>
        <v>58.905000000000001</v>
      </c>
      <c r="I111" s="268">
        <f t="shared" si="11"/>
        <v>78.540000000000006</v>
      </c>
      <c r="J111" s="268">
        <f t="shared" si="11"/>
        <v>63.900144000000004</v>
      </c>
      <c r="K111" s="268">
        <f t="shared" si="11"/>
        <v>88.530288000000013</v>
      </c>
      <c r="L111" s="268">
        <f t="shared" si="11"/>
        <v>71.43998400000001</v>
      </c>
      <c r="M111" s="268">
        <f t="shared" si="11"/>
        <v>103.60996800000001</v>
      </c>
      <c r="P111" s="268">
        <f>P105+P109</f>
        <v>68.895288000000008</v>
      </c>
      <c r="Q111" s="268">
        <f>Q105+Q109</f>
        <v>93.525432000000009</v>
      </c>
      <c r="S111" s="268">
        <f>S105+S109</f>
        <v>101.06527200000001</v>
      </c>
      <c r="T111" s="268">
        <f>T105+T109</f>
        <v>83.974968000000004</v>
      </c>
      <c r="V111" s="268">
        <f>V105+V109</f>
        <v>123.244968</v>
      </c>
    </row>
    <row r="112" spans="1:24" ht="15.75" customHeight="1"/>
    <row r="113" spans="1:24" ht="15.75" customHeight="1"/>
    <row r="114" spans="1:24" ht="15.75" customHeight="1"/>
    <row r="115" spans="1:24" ht="15.75" customHeight="1">
      <c r="A115" s="257" t="s">
        <v>256</v>
      </c>
      <c r="B115" s="265">
        <v>28</v>
      </c>
      <c r="C115" s="267">
        <v>250</v>
      </c>
      <c r="F115" s="257" t="str">
        <f>A115</f>
        <v>фон</v>
      </c>
      <c r="G115" s="265">
        <f>B115</f>
        <v>28</v>
      </c>
      <c r="H115" s="257">
        <f>C115</f>
        <v>250</v>
      </c>
      <c r="I115" s="257">
        <f>D115</f>
        <v>0</v>
      </c>
      <c r="K115" s="257" t="str">
        <f>F115</f>
        <v>фон</v>
      </c>
      <c r="L115" s="265">
        <f>G115</f>
        <v>28</v>
      </c>
      <c r="M115" s="257">
        <f>H115</f>
        <v>250</v>
      </c>
      <c r="Q115" s="257" t="str">
        <f>K115</f>
        <v>фон</v>
      </c>
      <c r="R115" s="265">
        <f>L115</f>
        <v>28</v>
      </c>
      <c r="S115" s="257">
        <f>M115</f>
        <v>250</v>
      </c>
    </row>
    <row r="116" spans="1:24" ht="15.75" customHeight="1">
      <c r="B116" s="260">
        <f>B118/2-B115-B117</f>
        <v>81</v>
      </c>
    </row>
    <row r="117" spans="1:24" ht="15.75" customHeight="1">
      <c r="A117" s="261"/>
      <c r="B117" s="264">
        <v>16</v>
      </c>
      <c r="C117" s="264">
        <v>16</v>
      </c>
      <c r="D117" s="263">
        <v>20</v>
      </c>
      <c r="E117" s="263">
        <v>20</v>
      </c>
      <c r="F117" s="262">
        <v>25</v>
      </c>
      <c r="G117" s="262">
        <v>25</v>
      </c>
      <c r="H117" s="262">
        <v>25</v>
      </c>
      <c r="I117" s="262">
        <v>25</v>
      </c>
      <c r="J117" s="262">
        <v>25</v>
      </c>
      <c r="K117" s="262">
        <v>25</v>
      </c>
      <c r="L117" s="262">
        <v>25</v>
      </c>
      <c r="M117" s="262">
        <v>25</v>
      </c>
      <c r="N117" s="263">
        <v>20</v>
      </c>
      <c r="O117" s="265">
        <v>28</v>
      </c>
      <c r="P117" s="265">
        <v>28</v>
      </c>
      <c r="Q117" s="265">
        <v>28</v>
      </c>
      <c r="R117" s="266">
        <v>32</v>
      </c>
      <c r="S117" s="266">
        <v>32</v>
      </c>
      <c r="T117" s="266">
        <v>32</v>
      </c>
      <c r="U117" s="262">
        <v>25</v>
      </c>
      <c r="V117" s="262">
        <v>25</v>
      </c>
      <c r="W117" s="265">
        <v>28</v>
      </c>
      <c r="X117" s="266">
        <v>32</v>
      </c>
    </row>
    <row r="118" spans="1:24" ht="15.75" customHeight="1">
      <c r="A118" s="261"/>
      <c r="B118" s="260">
        <v>250</v>
      </c>
      <c r="C118" s="260">
        <v>83.33</v>
      </c>
      <c r="D118" s="260">
        <v>250</v>
      </c>
      <c r="E118" s="260">
        <v>250</v>
      </c>
      <c r="F118" s="260">
        <v>250</v>
      </c>
      <c r="G118" s="260">
        <v>250</v>
      </c>
      <c r="H118" s="260">
        <v>250</v>
      </c>
      <c r="I118" s="260">
        <v>250</v>
      </c>
      <c r="J118" s="260">
        <v>250</v>
      </c>
      <c r="K118" s="260">
        <v>250</v>
      </c>
      <c r="L118" s="260">
        <v>250</v>
      </c>
      <c r="M118" s="260">
        <v>250</v>
      </c>
      <c r="N118" s="270">
        <v>125</v>
      </c>
      <c r="O118" s="260">
        <v>250</v>
      </c>
      <c r="P118" s="260">
        <v>250</v>
      </c>
      <c r="Q118" s="260">
        <v>250</v>
      </c>
      <c r="R118" s="260">
        <v>250</v>
      </c>
      <c r="S118" s="260">
        <v>250</v>
      </c>
      <c r="T118" s="260">
        <v>250</v>
      </c>
      <c r="U118" s="270">
        <v>125</v>
      </c>
      <c r="V118" s="270">
        <v>125</v>
      </c>
      <c r="W118" s="270">
        <v>125</v>
      </c>
      <c r="X118" s="270">
        <v>125</v>
      </c>
    </row>
    <row r="119" spans="1:24" ht="15.75" customHeight="1">
      <c r="A119" s="259">
        <f>B115*B115*3.1416/4*1000/C115/100</f>
        <v>24.630144000000001</v>
      </c>
      <c r="B119" s="259">
        <f t="shared" ref="B119:X119" si="12">$A119+B117*B117*3.1416/4*1000/B118/100</f>
        <v>32.672640000000001</v>
      </c>
      <c r="C119" s="259">
        <f t="shared" si="12"/>
        <v>48.758597138125523</v>
      </c>
      <c r="D119" s="259">
        <f t="shared" si="12"/>
        <v>37.196544000000003</v>
      </c>
      <c r="E119" s="259">
        <f t="shared" si="12"/>
        <v>37.196544000000003</v>
      </c>
      <c r="F119" s="259">
        <f t="shared" si="12"/>
        <v>44.265144000000006</v>
      </c>
      <c r="G119" s="259">
        <f t="shared" si="12"/>
        <v>44.265144000000006</v>
      </c>
      <c r="H119" s="259">
        <f t="shared" si="12"/>
        <v>44.265144000000006</v>
      </c>
      <c r="I119" s="259">
        <f t="shared" si="12"/>
        <v>44.265144000000006</v>
      </c>
      <c r="J119" s="259">
        <f t="shared" si="12"/>
        <v>44.265144000000006</v>
      </c>
      <c r="K119" s="259">
        <f t="shared" si="12"/>
        <v>44.265144000000006</v>
      </c>
      <c r="L119" s="259">
        <f t="shared" si="12"/>
        <v>44.265144000000006</v>
      </c>
      <c r="M119" s="259">
        <f t="shared" si="12"/>
        <v>44.265144000000006</v>
      </c>
      <c r="N119" s="259">
        <f t="shared" si="12"/>
        <v>49.762943999999997</v>
      </c>
      <c r="O119" s="259">
        <f t="shared" si="12"/>
        <v>49.260288000000003</v>
      </c>
      <c r="P119" s="259">
        <f t="shared" si="12"/>
        <v>49.260288000000003</v>
      </c>
      <c r="Q119" s="259">
        <f t="shared" si="12"/>
        <v>49.260288000000003</v>
      </c>
      <c r="R119" s="259">
        <f t="shared" si="12"/>
        <v>56.800128000000001</v>
      </c>
      <c r="S119" s="259">
        <f t="shared" si="12"/>
        <v>56.800128000000001</v>
      </c>
      <c r="T119" s="259">
        <f t="shared" si="12"/>
        <v>56.800128000000001</v>
      </c>
      <c r="U119" s="259">
        <f t="shared" si="12"/>
        <v>63.900144000000004</v>
      </c>
      <c r="V119" s="259">
        <f t="shared" si="12"/>
        <v>63.900144000000004</v>
      </c>
      <c r="W119" s="259">
        <f t="shared" si="12"/>
        <v>73.890432000000004</v>
      </c>
      <c r="X119" s="259">
        <f t="shared" si="12"/>
        <v>88.970112</v>
      </c>
    </row>
    <row r="120" spans="1:24" ht="15.75" customHeight="1">
      <c r="D120" s="269" t="s">
        <v>258</v>
      </c>
      <c r="E120" s="269" t="s">
        <v>258</v>
      </c>
      <c r="G120" s="269" t="s">
        <v>258</v>
      </c>
      <c r="H120" s="269" t="s">
        <v>258</v>
      </c>
      <c r="I120" s="269" t="s">
        <v>258</v>
      </c>
      <c r="J120" s="269" t="s">
        <v>258</v>
      </c>
      <c r="K120" s="269" t="s">
        <v>258</v>
      </c>
      <c r="L120" s="269" t="s">
        <v>258</v>
      </c>
      <c r="M120" s="269" t="s">
        <v>258</v>
      </c>
      <c r="P120" s="269" t="s">
        <v>258</v>
      </c>
      <c r="Q120" s="269" t="s">
        <v>258</v>
      </c>
      <c r="S120" s="269" t="s">
        <v>258</v>
      </c>
      <c r="T120" s="269" t="s">
        <v>258</v>
      </c>
      <c r="V120" s="269" t="s">
        <v>258</v>
      </c>
    </row>
    <row r="121" spans="1:24" ht="15.75" customHeight="1">
      <c r="D121" s="265">
        <v>28</v>
      </c>
      <c r="E121" s="263">
        <v>20</v>
      </c>
      <c r="G121" s="263">
        <v>20</v>
      </c>
      <c r="H121" s="262">
        <v>25</v>
      </c>
      <c r="I121" s="262">
        <v>25</v>
      </c>
      <c r="J121" s="265">
        <v>28</v>
      </c>
      <c r="K121" s="265">
        <v>28</v>
      </c>
      <c r="L121" s="266">
        <v>32</v>
      </c>
      <c r="M121" s="266">
        <v>32</v>
      </c>
      <c r="P121" s="265">
        <v>28</v>
      </c>
      <c r="Q121" s="265">
        <v>28</v>
      </c>
      <c r="S121" s="265">
        <v>28</v>
      </c>
      <c r="T121" s="266">
        <v>32</v>
      </c>
      <c r="V121" s="266">
        <v>32</v>
      </c>
      <c r="W121" s="265">
        <v>28</v>
      </c>
    </row>
    <row r="122" spans="1:24" ht="15.75" customHeight="1">
      <c r="D122" s="260">
        <v>250</v>
      </c>
      <c r="E122" s="270">
        <v>125</v>
      </c>
      <c r="G122" s="270">
        <v>125</v>
      </c>
      <c r="H122" s="260">
        <v>250</v>
      </c>
      <c r="I122" s="270">
        <v>125</v>
      </c>
      <c r="J122" s="260">
        <v>250</v>
      </c>
      <c r="K122" s="270">
        <v>125</v>
      </c>
      <c r="L122" s="260">
        <v>250</v>
      </c>
      <c r="M122" s="270">
        <v>125</v>
      </c>
      <c r="P122" s="260">
        <v>250</v>
      </c>
      <c r="Q122" s="270">
        <v>125</v>
      </c>
      <c r="S122" s="270">
        <v>125</v>
      </c>
      <c r="T122" s="260">
        <v>250</v>
      </c>
      <c r="V122" s="270">
        <v>125</v>
      </c>
      <c r="W122" s="260">
        <v>250</v>
      </c>
    </row>
    <row r="123" spans="1:24" ht="15.75" customHeight="1">
      <c r="D123" s="259">
        <f>$A123+D121*D121*3.1416/4*1000/D122/100</f>
        <v>24.630144000000001</v>
      </c>
      <c r="E123" s="259">
        <f>$A123+E121*E121*3.1416/4*1000/E122/100</f>
        <v>25.132799999999996</v>
      </c>
      <c r="G123" s="259">
        <f>$A123+G121*G121*3.1416/4*1000/G122/100</f>
        <v>25.132799999999996</v>
      </c>
      <c r="H123" s="259">
        <f>H121*H121*3.1416/4*1000/H122/100</f>
        <v>19.635000000000002</v>
      </c>
      <c r="I123" s="259">
        <f>I121*I121*3.1416/4*1000/I122/100</f>
        <v>39.270000000000003</v>
      </c>
      <c r="J123" s="259">
        <f>$A123+J121*J121*3.1416/4*1000/J122/100</f>
        <v>24.630144000000001</v>
      </c>
      <c r="K123" s="259">
        <f>$A123+K121*K121*3.1416/4*1000/K122/100</f>
        <v>49.260288000000003</v>
      </c>
      <c r="L123" s="259">
        <f>$A123+L121*L121*3.1416/4*1000/L122/100</f>
        <v>32.169983999999999</v>
      </c>
      <c r="M123" s="259">
        <f>$A123+M121*M121*3.1416/4*1000/M122/100</f>
        <v>64.339967999999999</v>
      </c>
      <c r="P123" s="259">
        <f>$A123+P121*P121*3.1416/4*1000/P122/100</f>
        <v>24.630144000000001</v>
      </c>
      <c r="Q123" s="259">
        <f>$A123+Q121*Q121*3.1416/4*1000/Q122/100</f>
        <v>49.260288000000003</v>
      </c>
      <c r="S123" s="259">
        <f>$A123+S121*S121*3.1416/4*1000/S122/100</f>
        <v>49.260288000000003</v>
      </c>
      <c r="T123" s="259">
        <f>$A123+T121*T121*3.1416/4*1000/T122/100</f>
        <v>32.169983999999999</v>
      </c>
      <c r="V123" s="259">
        <f>$A123+V121*V121*3.1416/4*1000/V122/100</f>
        <v>64.339967999999999</v>
      </c>
      <c r="W123" s="259">
        <f>$A123+W121*W121*3.1416/4*1000/W122/100</f>
        <v>24.630144000000001</v>
      </c>
    </row>
    <row r="124" spans="1:24" ht="15.75" customHeight="1">
      <c r="D124" s="269" t="s">
        <v>257</v>
      </c>
      <c r="E124" s="269" t="s">
        <v>257</v>
      </c>
      <c r="G124" s="269" t="s">
        <v>257</v>
      </c>
      <c r="H124" s="269" t="s">
        <v>257</v>
      </c>
      <c r="I124" s="269" t="s">
        <v>257</v>
      </c>
      <c r="J124" s="269" t="s">
        <v>257</v>
      </c>
      <c r="K124" s="269" t="s">
        <v>257</v>
      </c>
      <c r="L124" s="269" t="s">
        <v>257</v>
      </c>
      <c r="M124" s="269" t="s">
        <v>257</v>
      </c>
      <c r="P124" s="269" t="s">
        <v>257</v>
      </c>
      <c r="Q124" s="269" t="s">
        <v>257</v>
      </c>
      <c r="S124" s="269" t="s">
        <v>257</v>
      </c>
      <c r="T124" s="269" t="s">
        <v>257</v>
      </c>
      <c r="V124" s="269" t="s">
        <v>257</v>
      </c>
      <c r="W124" s="269" t="s">
        <v>257</v>
      </c>
    </row>
    <row r="125" spans="1:24" ht="15.75" customHeight="1">
      <c r="D125" s="268">
        <f>D119+D123</f>
        <v>61.826688000000004</v>
      </c>
      <c r="E125" s="268">
        <f>E119+E123</f>
        <v>62.329343999999999</v>
      </c>
      <c r="G125" s="268">
        <f t="shared" ref="G125:M125" si="13">G119+G123</f>
        <v>69.397943999999995</v>
      </c>
      <c r="H125" s="268">
        <f t="shared" si="13"/>
        <v>63.900144000000012</v>
      </c>
      <c r="I125" s="268">
        <f t="shared" si="13"/>
        <v>83.535144000000003</v>
      </c>
      <c r="J125" s="268">
        <f t="shared" si="13"/>
        <v>68.895288000000008</v>
      </c>
      <c r="K125" s="268">
        <f t="shared" si="13"/>
        <v>93.525432000000009</v>
      </c>
      <c r="L125" s="268">
        <f t="shared" si="13"/>
        <v>76.435128000000006</v>
      </c>
      <c r="M125" s="268">
        <f t="shared" si="13"/>
        <v>108.60511200000001</v>
      </c>
      <c r="P125" s="268">
        <f>P119+P123</f>
        <v>73.890432000000004</v>
      </c>
      <c r="Q125" s="268">
        <f>Q119+Q123</f>
        <v>98.520576000000005</v>
      </c>
      <c r="S125" s="268">
        <f>S119+S123</f>
        <v>106.060416</v>
      </c>
      <c r="T125" s="268">
        <f>T119+T123</f>
        <v>88.970112</v>
      </c>
      <c r="V125" s="268">
        <f>V119+V123</f>
        <v>128.24011200000001</v>
      </c>
      <c r="W125" s="268">
        <f>W119+W123</f>
        <v>98.520576000000005</v>
      </c>
    </row>
    <row r="126" spans="1:24" ht="15.75" customHeight="1"/>
    <row r="127" spans="1:24" ht="15.75" customHeight="1"/>
    <row r="128" spans="1:24" ht="15.75" customHeight="1"/>
    <row r="129" spans="1:12" ht="15.75" customHeight="1">
      <c r="A129" s="257" t="s">
        <v>256</v>
      </c>
      <c r="B129" s="267">
        <v>25</v>
      </c>
      <c r="C129" s="267">
        <v>125</v>
      </c>
      <c r="F129" s="257" t="str">
        <f>A129</f>
        <v>фон</v>
      </c>
      <c r="G129" s="257">
        <f>B129</f>
        <v>25</v>
      </c>
      <c r="H129" s="257">
        <f>C129</f>
        <v>125</v>
      </c>
    </row>
    <row r="130" spans="1:12" ht="15.75" customHeight="1"/>
    <row r="131" spans="1:12" ht="15.75" customHeight="1">
      <c r="A131" s="261"/>
      <c r="B131" s="263">
        <v>20</v>
      </c>
      <c r="C131" s="262">
        <v>25</v>
      </c>
      <c r="D131" s="263">
        <v>20</v>
      </c>
      <c r="E131" s="265">
        <v>28</v>
      </c>
      <c r="F131" s="265">
        <v>28</v>
      </c>
      <c r="G131" s="266">
        <v>32</v>
      </c>
      <c r="H131" s="262">
        <v>25</v>
      </c>
      <c r="I131" s="265">
        <v>28</v>
      </c>
      <c r="J131" s="266">
        <v>32</v>
      </c>
    </row>
    <row r="132" spans="1:12" ht="15.75" customHeight="1">
      <c r="A132" s="261"/>
      <c r="B132" s="260">
        <v>250</v>
      </c>
      <c r="C132" s="260">
        <v>250</v>
      </c>
      <c r="D132" s="260">
        <v>125</v>
      </c>
      <c r="E132" s="260">
        <v>250</v>
      </c>
      <c r="F132" s="260">
        <v>250</v>
      </c>
      <c r="G132" s="260">
        <v>250</v>
      </c>
      <c r="H132" s="260">
        <v>125</v>
      </c>
      <c r="I132" s="260">
        <v>125</v>
      </c>
      <c r="J132" s="260">
        <v>125</v>
      </c>
    </row>
    <row r="133" spans="1:12" ht="15.75" customHeight="1">
      <c r="A133" s="259">
        <f>B129*B129*3.1416/4*1000/C129/100</f>
        <v>39.270000000000003</v>
      </c>
      <c r="B133" s="259">
        <f t="shared" ref="B133:J133" si="14">$A133+B131*B131*3.1416/4*1000/B132/100</f>
        <v>51.836399999999998</v>
      </c>
      <c r="C133" s="259">
        <f t="shared" si="14"/>
        <v>58.905000000000001</v>
      </c>
      <c r="D133" s="259">
        <f t="shared" si="14"/>
        <v>64.402799999999999</v>
      </c>
      <c r="E133" s="259">
        <f t="shared" si="14"/>
        <v>63.900144000000004</v>
      </c>
      <c r="F133" s="259">
        <f t="shared" si="14"/>
        <v>63.900144000000004</v>
      </c>
      <c r="G133" s="259">
        <f t="shared" si="14"/>
        <v>71.43998400000001</v>
      </c>
      <c r="H133" s="259">
        <f t="shared" si="14"/>
        <v>78.540000000000006</v>
      </c>
      <c r="I133" s="259">
        <f t="shared" si="14"/>
        <v>88.530288000000013</v>
      </c>
      <c r="J133" s="259">
        <f t="shared" si="14"/>
        <v>103.60996800000001</v>
      </c>
    </row>
    <row r="134" spans="1:12" ht="15.75" customHeight="1"/>
    <row r="135" spans="1:12" ht="15.75" customHeight="1"/>
    <row r="136" spans="1:12" ht="15.75" customHeight="1"/>
    <row r="137" spans="1:12" ht="15.75" customHeight="1"/>
    <row r="138" spans="1:12" ht="15.75" customHeight="1">
      <c r="A138" s="257" t="s">
        <v>256</v>
      </c>
      <c r="B138" s="267">
        <v>14</v>
      </c>
      <c r="C138" s="267">
        <v>250</v>
      </c>
      <c r="F138" s="257" t="str">
        <f>A138</f>
        <v>фон</v>
      </c>
      <c r="G138" s="257">
        <f>B138</f>
        <v>14</v>
      </c>
      <c r="H138" s="257">
        <f>C138</f>
        <v>250</v>
      </c>
    </row>
    <row r="139" spans="1:12" ht="15.75" customHeight="1"/>
    <row r="140" spans="1:12" ht="15.75" customHeight="1">
      <c r="A140" s="261"/>
      <c r="B140" s="266">
        <v>10</v>
      </c>
      <c r="C140" s="265">
        <v>12</v>
      </c>
      <c r="D140" s="266">
        <v>10</v>
      </c>
      <c r="E140" s="264">
        <v>16</v>
      </c>
      <c r="F140" s="265">
        <v>12</v>
      </c>
      <c r="G140" s="263">
        <v>20</v>
      </c>
      <c r="H140" s="264">
        <v>16</v>
      </c>
      <c r="I140" s="262">
        <v>25</v>
      </c>
      <c r="J140" s="264">
        <v>16</v>
      </c>
      <c r="K140" s="263">
        <v>20</v>
      </c>
      <c r="L140" s="262">
        <v>25</v>
      </c>
    </row>
    <row r="141" spans="1:12" ht="15.75" customHeight="1">
      <c r="A141" s="261"/>
      <c r="B141" s="260">
        <v>250</v>
      </c>
      <c r="C141" s="260">
        <v>250</v>
      </c>
      <c r="D141" s="260">
        <v>125</v>
      </c>
      <c r="E141" s="260">
        <v>250</v>
      </c>
      <c r="F141" s="260">
        <v>125</v>
      </c>
      <c r="G141" s="260">
        <v>250</v>
      </c>
      <c r="H141" s="260">
        <v>125</v>
      </c>
      <c r="I141" s="260">
        <v>250</v>
      </c>
      <c r="J141" s="260">
        <v>83.33</v>
      </c>
      <c r="K141" s="260">
        <v>125</v>
      </c>
      <c r="L141" s="260">
        <v>125</v>
      </c>
    </row>
    <row r="142" spans="1:12" ht="15.75" customHeight="1">
      <c r="A142" s="259">
        <f>B138*B138*3.1416/4*1000/C138/100</f>
        <v>6.1575360000000003</v>
      </c>
      <c r="B142" s="259">
        <f t="shared" ref="B142:L142" si="15">$A142+B140*B140*3.1416/4*1000/B141/100</f>
        <v>9.2991360000000007</v>
      </c>
      <c r="C142" s="259">
        <f t="shared" si="15"/>
        <v>10.68144</v>
      </c>
      <c r="D142" s="259">
        <f t="shared" si="15"/>
        <v>12.440735999999999</v>
      </c>
      <c r="E142" s="259">
        <f t="shared" si="15"/>
        <v>14.200032</v>
      </c>
      <c r="F142" s="259">
        <f t="shared" si="15"/>
        <v>15.205344</v>
      </c>
      <c r="G142" s="259">
        <f t="shared" si="15"/>
        <v>18.723935999999998</v>
      </c>
      <c r="H142" s="259">
        <f t="shared" si="15"/>
        <v>22.242528</v>
      </c>
      <c r="I142" s="259">
        <f t="shared" si="15"/>
        <v>25.792536000000002</v>
      </c>
      <c r="J142" s="259">
        <f t="shared" si="15"/>
        <v>30.285989138125522</v>
      </c>
      <c r="K142" s="259">
        <f t="shared" si="15"/>
        <v>31.290335999999996</v>
      </c>
      <c r="L142" s="259">
        <f t="shared" si="15"/>
        <v>45.427536000000003</v>
      </c>
    </row>
    <row r="143" spans="1:12" ht="15.75" customHeight="1">
      <c r="A143" s="257">
        <v>3</v>
      </c>
    </row>
    <row r="144" spans="1:12" ht="15.75" customHeight="1">
      <c r="A144" s="258">
        <f>A142*3</f>
        <v>18.472608000000001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C10:F10"/>
    <mergeCell ref="Y44:AB44"/>
    <mergeCell ref="C12:F12"/>
    <mergeCell ref="Y46:AB46"/>
    <mergeCell ref="N22:P22"/>
    <mergeCell ref="S22:U22"/>
    <mergeCell ref="X22:Z22"/>
    <mergeCell ref="B28:F28"/>
    <mergeCell ref="C29:F29"/>
    <mergeCell ref="X25:Z25"/>
    <mergeCell ref="X26:Z26"/>
    <mergeCell ref="A31:A40"/>
    <mergeCell ref="I22:K22"/>
    <mergeCell ref="I23:K23"/>
    <mergeCell ref="I25:K25"/>
    <mergeCell ref="S23:U23"/>
    <mergeCell ref="N25:P25"/>
    <mergeCell ref="S25:U25"/>
  </mergeCells>
  <conditionalFormatting sqref="AD29">
    <cfRule type="cellIs" dxfId="15" priority="1" operator="lessThan">
      <formula>$F$26</formula>
    </cfRule>
    <cfRule type="cellIs" dxfId="14" priority="2" operator="greaterThanOrEqual">
      <formula>$F$26</formula>
    </cfRule>
  </conditionalFormatting>
  <pageMargins left="0.32678721483925188" right="0.27776913261336411" top="0.74803149606299213" bottom="0.74803149606299213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'Е бетона'!$X$5:$X$19</xm:f>
          </x14:formula1>
          <xm:sqref>AD18:AD22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29"/>
  <sheetViews>
    <sheetView zoomScaleNormal="100" workbookViewId="0">
      <selection activeCell="F21" sqref="F21"/>
    </sheetView>
  </sheetViews>
  <sheetFormatPr defaultRowHeight="15"/>
  <cols>
    <col min="1" max="1" width="4.42578125" customWidth="1"/>
    <col min="2" max="2" width="29" customWidth="1"/>
    <col min="3" max="3" width="0.85546875" customWidth="1"/>
    <col min="5" max="5" width="11.42578125" bestFit="1" customWidth="1"/>
    <col min="7" max="7" width="11.42578125" bestFit="1" customWidth="1"/>
    <col min="8" max="8" width="11.140625" customWidth="1"/>
    <col min="21" max="21" width="8.28515625" customWidth="1"/>
    <col min="22" max="30" width="9.42578125" customWidth="1"/>
  </cols>
  <sheetData>
    <row r="1" spans="2:17" ht="55.5" customHeight="1">
      <c r="B1" s="658" t="s">
        <v>179</v>
      </c>
      <c r="C1" s="659"/>
      <c r="D1" s="659"/>
      <c r="E1" s="659"/>
      <c r="F1" s="659"/>
      <c r="G1" s="659"/>
    </row>
    <row r="2" spans="2:17">
      <c r="B2" s="146"/>
      <c r="C2" s="146"/>
      <c r="D2" s="146"/>
      <c r="E2" s="146"/>
      <c r="F2" s="146"/>
      <c r="G2" s="146"/>
    </row>
    <row r="3" spans="2:17" ht="18">
      <c r="B3" s="1" t="s">
        <v>251</v>
      </c>
      <c r="C3" s="164"/>
      <c r="D3" s="167">
        <v>8.1</v>
      </c>
      <c r="E3" s="164"/>
      <c r="F3" s="164"/>
      <c r="G3" s="164"/>
    </row>
    <row r="4" spans="2:17" ht="18.75" thickBot="1">
      <c r="B4" s="159"/>
      <c r="C4" s="159"/>
      <c r="D4" s="159"/>
      <c r="E4" s="159"/>
      <c r="F4" s="159"/>
      <c r="G4" s="159"/>
      <c r="N4" s="660" t="s">
        <v>171</v>
      </c>
      <c r="O4" s="660"/>
      <c r="P4" s="660"/>
    </row>
    <row r="5" spans="2:17">
      <c r="B5" s="13"/>
      <c r="C5" s="13"/>
      <c r="D5" s="13"/>
      <c r="E5" s="148" t="s">
        <v>173</v>
      </c>
      <c r="N5" s="162">
        <f>$D$6</f>
        <v>3</v>
      </c>
      <c r="O5" s="4">
        <f>$D$7</f>
        <v>3.2</v>
      </c>
      <c r="P5" s="161">
        <f>$D$8</f>
        <v>6</v>
      </c>
      <c r="Q5" s="129">
        <f>(O5-N5)*(P6-N6)</f>
        <v>10.000000000000009</v>
      </c>
    </row>
    <row r="6" spans="2:17" ht="15.75" thickBot="1">
      <c r="B6" s="1" t="s">
        <v>181</v>
      </c>
      <c r="C6" s="1">
        <f>IF(D3&gt;6,MATCH(C7,K16:K20,1),MATCH(C7,K8:K12,1))</f>
        <v>2</v>
      </c>
      <c r="D6" s="166">
        <f>IF(D3&gt;6,INDEX(K16:K20,C6),INDEX(K8:K12,C6))</f>
        <v>3</v>
      </c>
      <c r="E6" s="153">
        <f>INDEX(L8:L12,C6)</f>
        <v>150</v>
      </c>
      <c r="K6" t="s">
        <v>252</v>
      </c>
      <c r="N6" s="9">
        <f>$E$6</f>
        <v>150</v>
      </c>
      <c r="O6" s="144">
        <f>N6+Q6</f>
        <v>153.33333333333334</v>
      </c>
      <c r="P6" s="10">
        <f>$E$8</f>
        <v>200</v>
      </c>
      <c r="Q6" s="145">
        <f>Q5/(P5-N5)</f>
        <v>3.3333333333333361</v>
      </c>
    </row>
    <row r="7" spans="2:17" ht="18.75" thickBot="1">
      <c r="B7" s="149" t="s">
        <v>180</v>
      </c>
      <c r="C7" s="149">
        <f>D7</f>
        <v>3.2</v>
      </c>
      <c r="D7" s="167">
        <v>3.2</v>
      </c>
      <c r="E7" s="156">
        <f>_xlfn.CEILING.MATH($O$6,1)</f>
        <v>154</v>
      </c>
      <c r="K7" t="s">
        <v>183</v>
      </c>
      <c r="L7" t="s">
        <v>184</v>
      </c>
    </row>
    <row r="8" spans="2:17">
      <c r="B8" s="1" t="s">
        <v>182</v>
      </c>
      <c r="C8" s="1">
        <f>C6+1</f>
        <v>3</v>
      </c>
      <c r="D8" s="166">
        <f>IF(D3&gt;6,INDEX(K16:K20,C8),INDEX(K8:K12,C8))</f>
        <v>6</v>
      </c>
      <c r="E8" s="153">
        <f>INDEX(L8:L12,C8)</f>
        <v>200</v>
      </c>
      <c r="J8">
        <v>1</v>
      </c>
      <c r="K8">
        <v>1</v>
      </c>
      <c r="L8">
        <v>120</v>
      </c>
    </row>
    <row r="9" spans="2:17" ht="18">
      <c r="B9" s="164"/>
      <c r="C9" s="164"/>
      <c r="D9" s="164"/>
      <c r="E9" s="164"/>
      <c r="F9" s="164"/>
      <c r="G9" s="164"/>
      <c r="J9">
        <v>2</v>
      </c>
      <c r="K9">
        <v>3</v>
      </c>
      <c r="L9">
        <v>150</v>
      </c>
    </row>
    <row r="10" spans="2:17" ht="30">
      <c r="B10" s="204" t="s">
        <v>205</v>
      </c>
      <c r="C10" s="164"/>
      <c r="D10" s="153">
        <f>_xlfn.CEILING.MATH(D7*1000/E7,0.1)</f>
        <v>20.8</v>
      </c>
      <c r="E10" s="164"/>
      <c r="F10" s="164"/>
      <c r="G10" s="164"/>
      <c r="J10">
        <v>3</v>
      </c>
      <c r="K10">
        <v>6</v>
      </c>
      <c r="L10">
        <v>200</v>
      </c>
    </row>
    <row r="11" spans="2:17" ht="30">
      <c r="B11" s="204" t="s">
        <v>206</v>
      </c>
      <c r="C11" s="164"/>
      <c r="D11" s="167">
        <v>1.67</v>
      </c>
      <c r="E11" s="164"/>
      <c r="F11" s="164"/>
      <c r="G11" s="164"/>
      <c r="J11">
        <v>4</v>
      </c>
      <c r="K11">
        <v>12</v>
      </c>
      <c r="L11">
        <v>250</v>
      </c>
    </row>
    <row r="12" spans="2:17" ht="18.75" customHeight="1">
      <c r="B12" s="204" t="s">
        <v>207</v>
      </c>
      <c r="D12" s="153">
        <f>_xlfn.CEILING.MATH((D11*100)/D10,0.1)</f>
        <v>8.1</v>
      </c>
      <c r="J12">
        <v>5</v>
      </c>
      <c r="K12">
        <v>24</v>
      </c>
      <c r="L12">
        <v>300</v>
      </c>
    </row>
    <row r="14" spans="2:17">
      <c r="B14" t="s">
        <v>185</v>
      </c>
      <c r="D14" s="167">
        <v>49.4</v>
      </c>
      <c r="K14" t="s">
        <v>253</v>
      </c>
    </row>
    <row r="15" spans="2:17">
      <c r="K15" t="s">
        <v>183</v>
      </c>
      <c r="L15" t="s">
        <v>184</v>
      </c>
    </row>
    <row r="16" spans="2:17">
      <c r="J16">
        <v>1</v>
      </c>
      <c r="K16">
        <v>1</v>
      </c>
      <c r="L16">
        <v>120</v>
      </c>
    </row>
    <row r="17" spans="2:12">
      <c r="J17">
        <v>2</v>
      </c>
      <c r="K17">
        <v>3</v>
      </c>
      <c r="L17">
        <v>150</v>
      </c>
    </row>
    <row r="18" spans="2:12">
      <c r="J18">
        <v>3</v>
      </c>
      <c r="K18">
        <v>6</v>
      </c>
      <c r="L18">
        <v>200</v>
      </c>
    </row>
    <row r="19" spans="2:12">
      <c r="J19">
        <v>4</v>
      </c>
      <c r="K19">
        <v>24</v>
      </c>
      <c r="L19">
        <v>250</v>
      </c>
    </row>
    <row r="20" spans="2:12">
      <c r="J20">
        <v>5</v>
      </c>
      <c r="K20">
        <v>36</v>
      </c>
      <c r="L20">
        <v>300</v>
      </c>
    </row>
    <row r="28" spans="2:12" ht="15.75">
      <c r="B28" s="565" t="str">
        <f>CONCATENATE("Максимальный прогиб плиты в пролете ",$D$7,"м составил ",$D$11,"мм."," Предельно допустимый прогиб, согласно приложение Д СП 20.13330.2016, fu = L/",$E$7," = ",D10,"мм")</f>
        <v>Максимальный прогиб плиты в пролете 3,2м составил 1,67мм. Предельно допустимый прогиб, согласно приложение Д СП 20.13330.2016, fu = L/154 = 20,8мм</v>
      </c>
    </row>
    <row r="29" spans="2:12" ht="15.75">
      <c r="B29" s="565" t="str">
        <f>CONCATENATE(B12," К=",(D12*0.01))</f>
        <v>Коэффициент использования К=0,081</v>
      </c>
    </row>
  </sheetData>
  <mergeCells count="2">
    <mergeCell ref="B1:G1"/>
    <mergeCell ref="N4:P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66"/>
  <sheetViews>
    <sheetView zoomScale="85" zoomScaleNormal="85" workbookViewId="0">
      <selection activeCell="H5" sqref="H5"/>
    </sheetView>
  </sheetViews>
  <sheetFormatPr defaultRowHeight="15"/>
  <cols>
    <col min="4" max="4" width="15.140625" bestFit="1" customWidth="1"/>
    <col min="5" max="5" width="11.5703125" bestFit="1" customWidth="1"/>
    <col min="8" max="8" width="18.28515625" customWidth="1"/>
  </cols>
  <sheetData>
    <row r="1" spans="2:9">
      <c r="C1" t="s">
        <v>51</v>
      </c>
    </row>
    <row r="2" spans="2:9" ht="15.75" thickBot="1"/>
    <row r="3" spans="2:9">
      <c r="B3" t="s">
        <v>24</v>
      </c>
      <c r="C3" t="s">
        <v>52</v>
      </c>
      <c r="G3" s="14" t="s">
        <v>53</v>
      </c>
      <c r="H3" s="15">
        <v>5280</v>
      </c>
      <c r="I3" s="16" t="s">
        <v>54</v>
      </c>
    </row>
    <row r="4" spans="2:9">
      <c r="G4" s="8" t="s">
        <v>55</v>
      </c>
      <c r="H4" s="17">
        <v>2000</v>
      </c>
      <c r="I4" s="16" t="s">
        <v>56</v>
      </c>
    </row>
    <row r="5" spans="2:9">
      <c r="C5" s="18" t="s">
        <v>57</v>
      </c>
      <c r="D5" s="18" t="s">
        <v>58</v>
      </c>
      <c r="E5" s="18" t="s">
        <v>59</v>
      </c>
      <c r="G5" s="8" t="s">
        <v>60</v>
      </c>
      <c r="H5" s="19">
        <f>H4/H3</f>
        <v>0.37878787878787878</v>
      </c>
    </row>
    <row r="6" spans="2:9">
      <c r="C6" s="18">
        <v>0</v>
      </c>
      <c r="D6" s="20">
        <f>C6/3*(2-C6/3)</f>
        <v>0</v>
      </c>
      <c r="E6" s="20">
        <f>2*C6/3*(2-2*C6/3)</f>
        <v>0</v>
      </c>
      <c r="G6" s="8" t="s">
        <v>61</v>
      </c>
      <c r="H6" s="17" t="s">
        <v>62</v>
      </c>
      <c r="I6" s="16" t="s">
        <v>63</v>
      </c>
    </row>
    <row r="7" spans="2:9">
      <c r="C7" s="18">
        <v>0.2</v>
      </c>
      <c r="D7" s="20">
        <f t="shared" ref="D7:D20" si="0">C7/3*(2-C7/3)</f>
        <v>0.12888888888888889</v>
      </c>
      <c r="E7" s="20">
        <f t="shared" ref="E7:E13" si="1">2*C7/3*(2-2*C7/3)</f>
        <v>0.24888888888888888</v>
      </c>
      <c r="G7" s="21"/>
      <c r="H7" s="22"/>
    </row>
    <row r="8" spans="2:9" ht="15.75" thickBot="1">
      <c r="C8" s="18">
        <v>0.4</v>
      </c>
      <c r="D8" s="20">
        <f t="shared" si="0"/>
        <v>0.24888888888888888</v>
      </c>
      <c r="E8" s="20">
        <f t="shared" si="1"/>
        <v>0.46222222222222226</v>
      </c>
      <c r="G8" s="23" t="s">
        <v>64</v>
      </c>
      <c r="H8" s="24">
        <f>IF(H6="Не раскреплена",0.8,IF(H6="С двух сторон",(H5/3*(2-H5/3))*0.8,(2*H5/3*(2-2*H5/3))*0.8))</f>
        <v>0.35302520151005001</v>
      </c>
      <c r="I8" s="16" t="s">
        <v>65</v>
      </c>
    </row>
    <row r="9" spans="2:9">
      <c r="C9" s="18">
        <v>0.6</v>
      </c>
      <c r="D9" s="20">
        <f t="shared" si="0"/>
        <v>0.36</v>
      </c>
      <c r="E9" s="20">
        <f t="shared" si="1"/>
        <v>0.64</v>
      </c>
    </row>
    <row r="10" spans="2:9">
      <c r="C10" s="18">
        <v>0.8</v>
      </c>
      <c r="D10" s="20">
        <f t="shared" si="0"/>
        <v>0.46222222222222226</v>
      </c>
      <c r="E10" s="20">
        <f t="shared" si="1"/>
        <v>0.78222222222222226</v>
      </c>
    </row>
    <row r="11" spans="2:9">
      <c r="C11" s="18">
        <v>1</v>
      </c>
      <c r="D11" s="20">
        <f t="shared" si="0"/>
        <v>0.55555555555555558</v>
      </c>
      <c r="E11" s="20">
        <f t="shared" si="1"/>
        <v>0.88888888888888895</v>
      </c>
    </row>
    <row r="12" spans="2:9">
      <c r="C12" s="18">
        <v>1.2</v>
      </c>
      <c r="D12" s="20">
        <f t="shared" si="0"/>
        <v>0.64</v>
      </c>
      <c r="E12" s="20">
        <f t="shared" si="1"/>
        <v>0.96000000000000008</v>
      </c>
    </row>
    <row r="13" spans="2:9">
      <c r="C13" s="18">
        <v>1.4</v>
      </c>
      <c r="D13" s="20">
        <f t="shared" si="0"/>
        <v>0.7155555555555555</v>
      </c>
      <c r="E13" s="20">
        <f t="shared" si="1"/>
        <v>0.99555555555555564</v>
      </c>
    </row>
    <row r="14" spans="2:9">
      <c r="C14" s="18">
        <v>1.6</v>
      </c>
      <c r="D14" s="20">
        <f t="shared" si="0"/>
        <v>0.78222222222222226</v>
      </c>
      <c r="E14" s="20"/>
    </row>
    <row r="15" spans="2:9">
      <c r="C15" s="18">
        <v>1.8</v>
      </c>
      <c r="D15" s="20">
        <f t="shared" si="0"/>
        <v>0.84</v>
      </c>
      <c r="E15" s="20"/>
    </row>
    <row r="16" spans="2:9">
      <c r="C16" s="18">
        <v>2</v>
      </c>
      <c r="D16" s="20">
        <f t="shared" si="0"/>
        <v>0.88888888888888895</v>
      </c>
      <c r="E16" s="20"/>
    </row>
    <row r="17" spans="3:5">
      <c r="C17" s="18">
        <v>2.2000000000000002</v>
      </c>
      <c r="D17" s="20">
        <f t="shared" si="0"/>
        <v>0.92888888888888888</v>
      </c>
      <c r="E17" s="20"/>
    </row>
    <row r="18" spans="3:5">
      <c r="C18" s="18">
        <v>2.4</v>
      </c>
      <c r="D18" s="20">
        <f t="shared" si="0"/>
        <v>0.96000000000000008</v>
      </c>
      <c r="E18" s="20"/>
    </row>
    <row r="19" spans="3:5">
      <c r="C19" s="18">
        <v>2.6</v>
      </c>
      <c r="D19" s="20">
        <f t="shared" si="0"/>
        <v>0.98222222222222222</v>
      </c>
      <c r="E19" s="20"/>
    </row>
    <row r="20" spans="3:5">
      <c r="C20" s="18">
        <v>2.8</v>
      </c>
      <c r="D20" s="20">
        <f t="shared" si="0"/>
        <v>0.99555555555555564</v>
      </c>
      <c r="E20" s="20"/>
    </row>
    <row r="21" spans="3:5">
      <c r="D21" s="12"/>
      <c r="E21" s="12"/>
    </row>
    <row r="64" spans="3:3">
      <c r="C64" t="s">
        <v>66</v>
      </c>
    </row>
    <row r="65" spans="3:3">
      <c r="C65" t="s">
        <v>62</v>
      </c>
    </row>
    <row r="66" spans="3:3">
      <c r="C66" t="s">
        <v>67</v>
      </c>
    </row>
  </sheetData>
  <dataValidations count="1">
    <dataValidation type="list" allowBlank="1" showInputMessage="1" showErrorMessage="1" sqref="H6" xr:uid="{00000000-0002-0000-0400-000000000000}">
      <formula1>$C$64:$C$66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2"/>
  <dimension ref="A1:AP134"/>
  <sheetViews>
    <sheetView workbookViewId="0">
      <selection activeCell="AA19" sqref="AA19"/>
    </sheetView>
  </sheetViews>
  <sheetFormatPr defaultRowHeight="12.75"/>
  <cols>
    <col min="1" max="1" width="9.140625" style="472"/>
    <col min="2" max="23" width="3.5703125" style="472" customWidth="1"/>
    <col min="24" max="24" width="7.42578125" style="472" customWidth="1"/>
    <col min="25" max="27" width="3.5703125" style="472" customWidth="1"/>
    <col min="28" max="28" width="9" style="472" customWidth="1"/>
    <col min="29" max="29" width="9.140625" style="472"/>
    <col min="30" max="30" width="6.42578125" style="472" customWidth="1"/>
    <col min="31" max="16384" width="9.140625" style="472"/>
  </cols>
  <sheetData>
    <row r="1" spans="1:42" ht="12.75" customHeight="1">
      <c r="A1" s="474"/>
      <c r="B1" s="661" t="s">
        <v>614</v>
      </c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473"/>
    </row>
    <row r="2" spans="1:42" ht="12.75" customHeight="1">
      <c r="A2" s="474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473"/>
    </row>
    <row r="3" spans="1:42" ht="18.75" customHeight="1">
      <c r="A3" s="474"/>
      <c r="B3" s="474" t="s">
        <v>617</v>
      </c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4"/>
      <c r="P3" s="474"/>
      <c r="Q3" s="474"/>
      <c r="X3" s="483">
        <v>200</v>
      </c>
      <c r="Z3" s="474" t="s">
        <v>607</v>
      </c>
      <c r="AA3" s="473"/>
      <c r="AB3" s="473"/>
      <c r="AC3" s="473"/>
    </row>
    <row r="4" spans="1:42" ht="22.5">
      <c r="A4" s="474"/>
      <c r="B4" s="474" t="s">
        <v>613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4"/>
      <c r="O4" s="474"/>
      <c r="P4" s="474"/>
      <c r="Q4" s="662">
        <v>36.1</v>
      </c>
      <c r="R4" s="663"/>
      <c r="S4" s="474" t="s">
        <v>612</v>
      </c>
      <c r="T4" s="474"/>
      <c r="U4" s="474"/>
      <c r="V4" s="474"/>
      <c r="W4" s="474"/>
      <c r="X4" s="474"/>
      <c r="Y4" s="474"/>
      <c r="Z4" s="474"/>
      <c r="AA4" s="473"/>
      <c r="AB4" s="473"/>
      <c r="AC4" s="473"/>
      <c r="AN4" s="281" t="s">
        <v>29</v>
      </c>
      <c r="AO4" s="331" t="s">
        <v>30</v>
      </c>
      <c r="AP4" s="257"/>
    </row>
    <row r="5" spans="1:42" s="473" customFormat="1" ht="18.75">
      <c r="A5" s="474"/>
      <c r="B5" s="475" t="s">
        <v>611</v>
      </c>
      <c r="C5" s="474"/>
      <c r="D5" s="474"/>
      <c r="E5" s="474"/>
      <c r="F5" s="474"/>
      <c r="G5" s="474"/>
      <c r="H5" s="474"/>
      <c r="I5" s="474"/>
      <c r="J5" s="474"/>
      <c r="K5" s="662">
        <v>4</v>
      </c>
      <c r="L5" s="663"/>
      <c r="M5" s="474" t="s">
        <v>610</v>
      </c>
      <c r="N5" s="474"/>
      <c r="AD5" s="474">
        <v>2</v>
      </c>
      <c r="AE5" s="482" t="s">
        <v>615</v>
      </c>
      <c r="AN5" s="257"/>
      <c r="AO5" s="257"/>
      <c r="AP5" s="257"/>
    </row>
    <row r="6" spans="1:42" s="473" customFormat="1" ht="18.75">
      <c r="A6" s="481"/>
      <c r="B6" s="474" t="s">
        <v>609</v>
      </c>
      <c r="C6" s="474"/>
      <c r="D6" s="480"/>
      <c r="E6" s="474"/>
      <c r="F6" s="474"/>
      <c r="G6" s="474"/>
      <c r="H6" s="474"/>
      <c r="I6" s="474"/>
      <c r="J6" s="474"/>
      <c r="K6" s="474"/>
      <c r="L6" s="474"/>
      <c r="M6" s="474"/>
      <c r="P6" s="474"/>
      <c r="Q6" s="474"/>
      <c r="R6" s="474"/>
      <c r="S6" s="474"/>
      <c r="T6" s="474"/>
      <c r="V6" s="474"/>
      <c r="W6" s="474"/>
      <c r="X6" s="474"/>
      <c r="Y6" s="474"/>
      <c r="Z6" s="474"/>
      <c r="AD6" s="474"/>
      <c r="AE6" s="482" t="s">
        <v>616</v>
      </c>
      <c r="AN6" s="323" t="s">
        <v>32</v>
      </c>
      <c r="AO6" s="331" t="s">
        <v>31</v>
      </c>
      <c r="AP6" s="257"/>
    </row>
    <row r="7" spans="1:42" s="473" customFormat="1" ht="18.75">
      <c r="A7" s="474"/>
      <c r="B7" s="474" t="s">
        <v>622</v>
      </c>
      <c r="C7" s="474"/>
      <c r="D7" s="474"/>
      <c r="E7" s="474"/>
      <c r="F7" s="474"/>
      <c r="G7" s="474"/>
      <c r="H7" s="474"/>
      <c r="I7" s="474"/>
      <c r="J7" s="474"/>
      <c r="K7" s="479"/>
      <c r="L7" s="474"/>
      <c r="M7" s="474"/>
      <c r="N7" s="474"/>
      <c r="O7" s="474"/>
      <c r="P7" s="474"/>
      <c r="Q7" s="474"/>
      <c r="R7" s="474"/>
      <c r="S7" s="474"/>
      <c r="T7" s="474"/>
      <c r="U7" s="474"/>
      <c r="V7" s="474" t="str">
        <f>IF(Q4&gt;9,IF(X7=AE9,AD9,AD13),"ϕ =")</f>
        <v>ϕ2 =</v>
      </c>
      <c r="X7" s="494">
        <f>IF(AD5=1,IF(Q4&gt;9,AE9,AE8),IF(Q4&gt;36,AE13,AE8))</f>
        <v>0.9993069989739547</v>
      </c>
      <c r="AD7" s="474"/>
    </row>
    <row r="8" spans="1:42" s="473" customFormat="1" ht="19.5" thickBot="1">
      <c r="A8" s="478"/>
      <c r="B8" s="474" t="s">
        <v>623</v>
      </c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474"/>
      <c r="Q8" s="477"/>
      <c r="R8" s="477"/>
      <c r="S8" s="474"/>
      <c r="T8" s="474"/>
      <c r="U8" s="474"/>
      <c r="V8" s="474" t="str">
        <f>IF(X8=AE17,AD17,AD21)</f>
        <v>ϕ4 =</v>
      </c>
      <c r="X8" s="494">
        <f>IF(AD5=1,AE17,AE21)</f>
        <v>0.74965349948697735</v>
      </c>
      <c r="Y8" s="474"/>
      <c r="AE8" s="473">
        <v>1</v>
      </c>
    </row>
    <row r="9" spans="1:42" s="473" customFormat="1" ht="22.5">
      <c r="A9" s="476"/>
      <c r="B9" s="474" t="s">
        <v>608</v>
      </c>
      <c r="C9" s="474"/>
      <c r="D9" s="474"/>
      <c r="E9" s="474"/>
      <c r="F9" s="474"/>
      <c r="G9" s="474"/>
      <c r="H9" s="474"/>
      <c r="I9" s="474"/>
      <c r="J9" s="474"/>
      <c r="K9" s="474"/>
      <c r="L9" s="474"/>
      <c r="M9" s="474"/>
      <c r="N9" s="474"/>
      <c r="O9" s="474"/>
      <c r="P9" s="474"/>
      <c r="Q9" s="474"/>
      <c r="R9" s="474"/>
      <c r="S9" s="474"/>
      <c r="T9" s="474"/>
      <c r="X9" s="493">
        <f>X3*X8</f>
        <v>149.93069989739547</v>
      </c>
      <c r="Y9" s="474" t="s">
        <v>607</v>
      </c>
      <c r="Z9" s="474"/>
      <c r="AD9" s="484" t="s">
        <v>618</v>
      </c>
      <c r="AE9" s="495">
        <f>IF(Q4&gt;9,0.4+0.6/(SQRT(Q4/9)),1)</f>
        <v>0.69958419938437277</v>
      </c>
      <c r="AF9" s="485"/>
      <c r="AG9" s="486"/>
      <c r="AH9" s="486"/>
      <c r="AI9" s="486"/>
      <c r="AJ9" s="487"/>
    </row>
    <row r="10" spans="1:42" s="473" customFormat="1" ht="18.75">
      <c r="A10" s="478"/>
      <c r="B10" s="474"/>
      <c r="C10" s="474"/>
      <c r="D10" s="474"/>
      <c r="E10" s="474"/>
      <c r="F10" s="474"/>
      <c r="G10" s="474"/>
      <c r="H10" s="474"/>
      <c r="I10" s="474"/>
      <c r="J10" s="474"/>
      <c r="K10" s="474"/>
      <c r="L10" s="474"/>
      <c r="M10" s="474"/>
      <c r="N10" s="474"/>
      <c r="O10" s="474"/>
      <c r="P10" s="474"/>
      <c r="Q10" s="474"/>
      <c r="R10" s="474"/>
      <c r="S10" s="474"/>
      <c r="T10" s="474"/>
      <c r="U10" s="474"/>
      <c r="V10" s="474"/>
      <c r="W10" s="474"/>
      <c r="X10" s="474"/>
      <c r="Y10" s="474"/>
      <c r="Z10" s="474"/>
      <c r="AD10" s="484"/>
      <c r="AE10" s="484"/>
      <c r="AF10" s="491"/>
      <c r="AJ10" s="492"/>
    </row>
    <row r="11" spans="1:42" s="473" customFormat="1" ht="19.5" thickBot="1">
      <c r="A11" s="474"/>
      <c r="B11" s="475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F11" s="488"/>
      <c r="AG11" s="489"/>
      <c r="AH11" s="489"/>
      <c r="AI11" s="489"/>
      <c r="AJ11" s="490"/>
    </row>
    <row r="12" spans="1:42" s="473" customFormat="1" ht="19.5" thickBot="1">
      <c r="A12" s="474"/>
      <c r="B12" s="475"/>
      <c r="C12" s="474"/>
      <c r="D12" s="474"/>
      <c r="E12" s="474"/>
      <c r="F12" s="474"/>
      <c r="G12" s="474"/>
      <c r="H12" s="474"/>
      <c r="I12" s="474"/>
      <c r="J12" s="474"/>
      <c r="K12" s="474"/>
      <c r="L12" s="474"/>
      <c r="M12" s="474"/>
      <c r="N12" s="474"/>
      <c r="O12" s="474"/>
      <c r="P12" s="474"/>
      <c r="Q12" s="474"/>
      <c r="R12" s="474"/>
      <c r="S12" s="474"/>
      <c r="T12" s="474"/>
      <c r="U12" s="474"/>
      <c r="V12" s="474"/>
      <c r="W12" s="474"/>
      <c r="X12" s="474"/>
      <c r="Y12" s="474"/>
      <c r="Z12" s="474"/>
    </row>
    <row r="13" spans="1:42" s="473" customFormat="1" ht="18.75">
      <c r="A13" s="474"/>
      <c r="B13" s="474"/>
      <c r="C13" s="474"/>
      <c r="D13" s="474"/>
      <c r="E13" s="474"/>
      <c r="F13" s="474"/>
      <c r="G13" s="474"/>
      <c r="H13" s="474"/>
      <c r="I13" s="474"/>
      <c r="J13" s="474"/>
      <c r="K13" s="474"/>
      <c r="L13" s="474"/>
      <c r="N13" s="474"/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4"/>
      <c r="Z13" s="474"/>
      <c r="AD13" s="484" t="s">
        <v>619</v>
      </c>
      <c r="AE13" s="495">
        <f>IF(Q4&gt;36,0.5+0.5/(SQRT(Q4/36)),1)</f>
        <v>0.9993069989739547</v>
      </c>
      <c r="AF13" s="485"/>
      <c r="AG13" s="486"/>
      <c r="AH13" s="486"/>
      <c r="AI13" s="486"/>
      <c r="AJ13" s="487"/>
    </row>
    <row r="14" spans="1:42" s="473" customFormat="1" ht="18.75">
      <c r="A14" s="474"/>
      <c r="B14" s="474"/>
      <c r="C14" s="474"/>
      <c r="D14" s="474"/>
      <c r="E14" s="474"/>
      <c r="F14" s="474"/>
      <c r="G14" s="474"/>
      <c r="H14" s="474"/>
      <c r="I14" s="474"/>
      <c r="J14" s="474"/>
      <c r="K14" s="474"/>
      <c r="L14" s="474"/>
      <c r="M14" s="474"/>
      <c r="N14" s="474"/>
      <c r="O14" s="474"/>
      <c r="P14" s="474"/>
      <c r="Q14" s="474"/>
      <c r="R14" s="474"/>
      <c r="S14" s="474"/>
      <c r="U14" s="474"/>
      <c r="V14" s="474"/>
      <c r="W14" s="474"/>
      <c r="X14" s="474"/>
      <c r="Y14" s="474"/>
      <c r="Z14" s="474"/>
      <c r="AF14" s="491"/>
      <c r="AJ14" s="492"/>
    </row>
    <row r="15" spans="1:42" s="473" customFormat="1" ht="19.5" thickBot="1">
      <c r="A15" s="474"/>
      <c r="B15" s="474"/>
      <c r="C15" s="474"/>
      <c r="D15" s="474"/>
      <c r="E15" s="474"/>
      <c r="F15" s="474"/>
      <c r="G15" s="474"/>
      <c r="H15" s="474"/>
      <c r="I15" s="474"/>
      <c r="J15" s="474"/>
      <c r="K15" s="474"/>
      <c r="L15" s="474"/>
      <c r="M15" s="474"/>
      <c r="N15" s="474"/>
      <c r="O15" s="474"/>
      <c r="P15" s="474"/>
      <c r="Q15" s="474"/>
      <c r="R15" s="474"/>
      <c r="S15" s="474"/>
      <c r="T15" s="474"/>
      <c r="U15" s="474"/>
      <c r="V15" s="474"/>
      <c r="W15" s="474"/>
      <c r="X15" s="474"/>
      <c r="Y15" s="474"/>
      <c r="Z15" s="474"/>
      <c r="AF15" s="488"/>
      <c r="AG15" s="489"/>
      <c r="AH15" s="489"/>
      <c r="AI15" s="489"/>
      <c r="AJ15" s="490"/>
    </row>
    <row r="16" spans="1:42" s="473" customFormat="1" ht="19.5" thickBot="1">
      <c r="A16" s="474"/>
      <c r="B16" s="474"/>
      <c r="C16" s="474"/>
      <c r="D16" s="474"/>
      <c r="E16" s="474"/>
      <c r="F16" s="474"/>
      <c r="G16" s="474"/>
      <c r="H16" s="474"/>
      <c r="I16" s="474"/>
      <c r="J16" s="474"/>
      <c r="K16" s="474"/>
      <c r="L16" s="474"/>
      <c r="M16" s="474"/>
      <c r="N16" s="474"/>
      <c r="O16" s="474"/>
      <c r="P16" s="474"/>
      <c r="Q16" s="474"/>
      <c r="R16" s="474"/>
      <c r="S16" s="474"/>
      <c r="T16" s="474"/>
      <c r="U16" s="474"/>
      <c r="V16" s="474"/>
      <c r="W16" s="474"/>
      <c r="X16" s="474"/>
      <c r="Y16" s="474"/>
      <c r="Z16" s="474"/>
    </row>
    <row r="17" spans="1:36" s="473" customFormat="1" ht="18.75">
      <c r="A17" s="474"/>
      <c r="B17" s="474"/>
      <c r="C17" s="474"/>
      <c r="D17" s="474"/>
      <c r="E17" s="474"/>
      <c r="F17" s="474"/>
      <c r="G17" s="474"/>
      <c r="H17" s="474"/>
      <c r="I17" s="474"/>
      <c r="J17" s="474"/>
      <c r="K17" s="474"/>
      <c r="L17" s="474"/>
      <c r="M17" s="474"/>
      <c r="N17" s="474"/>
      <c r="O17" s="474"/>
      <c r="P17" s="474"/>
      <c r="Q17" s="474"/>
      <c r="R17" s="474"/>
      <c r="S17" s="474"/>
      <c r="T17" s="474"/>
      <c r="U17" s="474"/>
      <c r="V17" s="474"/>
      <c r="W17" s="474"/>
      <c r="X17" s="474"/>
      <c r="Y17" s="474"/>
      <c r="Z17" s="474"/>
      <c r="AD17" s="484" t="s">
        <v>620</v>
      </c>
      <c r="AE17" s="495">
        <f>0.4+(AE9-0.4)/(SQRT(K5))</f>
        <v>0.54979209969218634</v>
      </c>
      <c r="AF17" s="485"/>
      <c r="AG17" s="486"/>
      <c r="AH17" s="486"/>
      <c r="AI17" s="486"/>
      <c r="AJ17" s="487"/>
    </row>
    <row r="18" spans="1:36" s="473" customFormat="1" ht="18.75">
      <c r="A18" s="474"/>
      <c r="B18" s="474"/>
      <c r="C18" s="474"/>
      <c r="D18" s="474"/>
      <c r="E18" s="474"/>
      <c r="F18" s="474"/>
      <c r="G18" s="474"/>
      <c r="H18" s="474"/>
      <c r="I18" s="474"/>
      <c r="J18" s="474"/>
      <c r="K18" s="474"/>
      <c r="L18" s="474"/>
      <c r="M18" s="474"/>
      <c r="N18" s="474"/>
      <c r="O18" s="474"/>
      <c r="P18" s="474"/>
      <c r="Q18" s="474"/>
      <c r="R18" s="474"/>
      <c r="S18" s="474"/>
      <c r="T18" s="474"/>
      <c r="U18" s="474"/>
      <c r="V18" s="474"/>
      <c r="W18" s="474"/>
      <c r="X18" s="474"/>
      <c r="Y18" s="474"/>
      <c r="Z18" s="474"/>
      <c r="AF18" s="491"/>
      <c r="AJ18" s="492"/>
    </row>
    <row r="19" spans="1:36" s="473" customFormat="1" ht="19.5" thickBot="1">
      <c r="A19" s="474"/>
      <c r="B19" s="474"/>
      <c r="C19" s="474"/>
      <c r="D19" s="474"/>
      <c r="E19" s="474"/>
      <c r="F19" s="474"/>
      <c r="G19" s="474"/>
      <c r="H19" s="474"/>
      <c r="I19" s="474"/>
      <c r="J19" s="474"/>
      <c r="K19" s="474"/>
      <c r="L19" s="474"/>
      <c r="M19" s="474"/>
      <c r="N19" s="474"/>
      <c r="O19" s="474"/>
      <c r="P19" s="474"/>
      <c r="Q19" s="474"/>
      <c r="R19" s="474"/>
      <c r="S19" s="474"/>
      <c r="T19" s="474"/>
      <c r="U19" s="474"/>
      <c r="V19" s="474"/>
      <c r="W19" s="474"/>
      <c r="X19" s="474"/>
      <c r="Y19" s="474"/>
      <c r="Z19" s="474"/>
      <c r="AF19" s="488"/>
      <c r="AG19" s="489"/>
      <c r="AH19" s="489"/>
      <c r="AI19" s="489"/>
      <c r="AJ19" s="490"/>
    </row>
    <row r="20" spans="1:36" s="473" customFormat="1" ht="19.5" thickBot="1">
      <c r="A20" s="474"/>
      <c r="B20" s="474"/>
      <c r="C20" s="474"/>
      <c r="D20" s="474"/>
      <c r="E20" s="474"/>
      <c r="F20" s="474"/>
      <c r="G20" s="474"/>
      <c r="H20" s="474"/>
      <c r="I20" s="474"/>
      <c r="J20" s="474"/>
      <c r="K20" s="474"/>
      <c r="L20" s="474"/>
      <c r="M20" s="474"/>
      <c r="N20" s="474"/>
      <c r="O20" s="474"/>
      <c r="P20" s="474"/>
      <c r="Q20" s="474"/>
      <c r="R20" s="474"/>
      <c r="S20" s="474"/>
      <c r="T20" s="474"/>
      <c r="U20" s="474"/>
      <c r="V20" s="474"/>
      <c r="W20" s="474"/>
      <c r="X20" s="474"/>
      <c r="Y20" s="474"/>
      <c r="Z20" s="474"/>
    </row>
    <row r="21" spans="1:36" s="473" customFormat="1" ht="18.75">
      <c r="A21" s="474"/>
      <c r="B21" s="474"/>
      <c r="C21" s="474"/>
      <c r="D21" s="474"/>
      <c r="E21" s="474"/>
      <c r="F21" s="474"/>
      <c r="G21" s="474"/>
      <c r="H21" s="474"/>
      <c r="I21" s="474"/>
      <c r="J21" s="474"/>
      <c r="K21" s="474"/>
      <c r="L21" s="474"/>
      <c r="M21" s="474"/>
      <c r="N21" s="474"/>
      <c r="O21" s="474"/>
      <c r="P21" s="474"/>
      <c r="Q21" s="474"/>
      <c r="R21" s="474"/>
      <c r="S21" s="474"/>
      <c r="T21" s="474"/>
      <c r="U21" s="474"/>
      <c r="V21" s="474"/>
      <c r="W21" s="474"/>
      <c r="X21" s="474"/>
      <c r="Y21" s="474"/>
      <c r="Z21" s="474"/>
      <c r="AD21" s="484" t="s">
        <v>621</v>
      </c>
      <c r="AE21" s="495">
        <f>0.5+(AE13-0.5)/(SQRT(K5))</f>
        <v>0.74965349948697735</v>
      </c>
      <c r="AF21" s="485"/>
      <c r="AG21" s="486"/>
      <c r="AH21" s="486"/>
      <c r="AI21" s="486"/>
      <c r="AJ21" s="487"/>
    </row>
    <row r="22" spans="1:36" s="473" customFormat="1" ht="18.75">
      <c r="A22" s="474"/>
      <c r="B22" s="474"/>
      <c r="C22" s="474"/>
      <c r="D22" s="474"/>
      <c r="E22" s="474"/>
      <c r="F22" s="474"/>
      <c r="G22" s="474"/>
      <c r="H22" s="474"/>
      <c r="I22" s="474"/>
      <c r="J22" s="474"/>
      <c r="K22" s="474"/>
      <c r="L22" s="474"/>
      <c r="M22" s="474"/>
      <c r="N22" s="474"/>
      <c r="O22" s="474"/>
      <c r="P22" s="474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F22" s="491"/>
      <c r="AJ22" s="492"/>
    </row>
    <row r="23" spans="1:36" s="473" customFormat="1" ht="19.5" thickBot="1">
      <c r="A23" s="474"/>
      <c r="B23" s="474"/>
      <c r="C23" s="474"/>
      <c r="D23" s="474"/>
      <c r="E23" s="474"/>
      <c r="F23" s="474"/>
      <c r="G23" s="474"/>
      <c r="H23" s="474"/>
      <c r="I23" s="474"/>
      <c r="J23" s="474"/>
      <c r="K23" s="474"/>
      <c r="L23" s="474"/>
      <c r="M23" s="474"/>
      <c r="N23" s="474"/>
      <c r="O23" s="474"/>
      <c r="P23" s="474"/>
      <c r="Q23" s="474"/>
      <c r="R23" s="474"/>
      <c r="S23" s="474"/>
      <c r="T23" s="474"/>
      <c r="U23" s="474"/>
      <c r="V23" s="474"/>
      <c r="W23" s="474"/>
      <c r="X23" s="474"/>
      <c r="Y23" s="474"/>
      <c r="Z23" s="474"/>
      <c r="AF23" s="488"/>
      <c r="AG23" s="489"/>
      <c r="AH23" s="489"/>
      <c r="AI23" s="489"/>
      <c r="AJ23" s="490"/>
    </row>
    <row r="24" spans="1:36" s="473" customFormat="1" ht="18.75">
      <c r="A24" s="474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474"/>
      <c r="M24" s="474"/>
      <c r="N24" s="474"/>
      <c r="O24" s="474"/>
      <c r="P24" s="474"/>
      <c r="Q24" s="474"/>
      <c r="R24" s="474"/>
      <c r="S24" s="474"/>
      <c r="T24" s="474"/>
      <c r="U24" s="474"/>
      <c r="V24" s="474"/>
      <c r="W24" s="474"/>
      <c r="X24" s="474"/>
      <c r="Y24" s="474"/>
      <c r="Z24" s="474"/>
    </row>
    <row r="25" spans="1:36" s="473" customFormat="1" ht="18.75">
      <c r="A25" s="474"/>
      <c r="B25" s="474"/>
      <c r="C25" s="474"/>
      <c r="D25" s="474"/>
      <c r="E25" s="474"/>
      <c r="F25" s="474"/>
      <c r="G25" s="474"/>
      <c r="H25" s="474"/>
      <c r="I25" s="474"/>
      <c r="J25" s="474"/>
    </row>
    <row r="26" spans="1:36" s="473" customFormat="1" ht="18.75">
      <c r="A26" s="474"/>
      <c r="B26" s="474"/>
      <c r="C26" s="474"/>
      <c r="D26" s="474"/>
      <c r="E26" s="474"/>
      <c r="F26" s="474"/>
      <c r="G26" s="474"/>
      <c r="H26" s="474"/>
      <c r="I26" s="474"/>
      <c r="J26" s="474"/>
    </row>
    <row r="27" spans="1:36" s="473" customFormat="1" ht="18.75">
      <c r="A27" s="474"/>
      <c r="B27" s="474"/>
      <c r="C27" s="474"/>
      <c r="D27" s="474"/>
      <c r="E27" s="474"/>
      <c r="F27" s="474"/>
      <c r="G27" s="474"/>
      <c r="H27" s="474"/>
      <c r="I27" s="474"/>
      <c r="J27" s="474"/>
    </row>
    <row r="28" spans="1:36" s="473" customFormat="1" ht="18.75">
      <c r="A28" s="474"/>
      <c r="B28" s="474"/>
      <c r="C28" s="474"/>
      <c r="D28" s="474"/>
      <c r="E28" s="474"/>
      <c r="F28" s="474"/>
      <c r="G28" s="474"/>
      <c r="H28" s="474"/>
      <c r="I28" s="474"/>
      <c r="J28" s="474"/>
    </row>
    <row r="29" spans="1:36" s="473" customFormat="1" ht="18.75">
      <c r="A29" s="474"/>
      <c r="B29" s="474"/>
      <c r="C29" s="474"/>
      <c r="D29" s="474"/>
      <c r="E29" s="474"/>
      <c r="F29" s="474"/>
      <c r="G29" s="474"/>
      <c r="H29" s="474"/>
      <c r="I29" s="474"/>
      <c r="J29" s="474"/>
    </row>
    <row r="30" spans="1:36" s="473" customFormat="1" ht="18.75">
      <c r="A30" s="474"/>
      <c r="B30" s="474"/>
      <c r="C30" s="474"/>
      <c r="D30" s="474"/>
      <c r="E30" s="474"/>
      <c r="F30" s="474"/>
      <c r="G30" s="474"/>
      <c r="H30" s="474"/>
      <c r="I30" s="474"/>
      <c r="J30" s="474"/>
    </row>
    <row r="31" spans="1:36" s="473" customFormat="1" ht="18.75">
      <c r="A31" s="474"/>
      <c r="B31" s="474"/>
      <c r="C31" s="474"/>
      <c r="D31" s="474"/>
      <c r="E31" s="474"/>
      <c r="F31" s="474"/>
      <c r="G31" s="474"/>
      <c r="H31" s="474"/>
      <c r="I31" s="474"/>
      <c r="J31" s="474"/>
    </row>
    <row r="32" spans="1:36" s="473" customFormat="1" ht="18.75">
      <c r="A32" s="474"/>
      <c r="B32" s="474"/>
      <c r="C32" s="474"/>
      <c r="D32" s="474"/>
      <c r="E32" s="474"/>
      <c r="F32" s="474"/>
      <c r="G32" s="474"/>
      <c r="H32" s="474"/>
      <c r="I32" s="474"/>
      <c r="J32" s="474"/>
    </row>
    <row r="33" spans="1:10" s="473" customFormat="1" ht="18.75">
      <c r="A33" s="474"/>
      <c r="B33" s="474"/>
      <c r="C33" s="474"/>
      <c r="D33" s="474"/>
      <c r="E33" s="474"/>
      <c r="F33" s="474"/>
      <c r="G33" s="474"/>
      <c r="H33" s="474"/>
      <c r="I33" s="474"/>
      <c r="J33" s="474"/>
    </row>
    <row r="34" spans="1:10" s="473" customFormat="1" ht="18.75">
      <c r="A34" s="474"/>
      <c r="B34" s="474"/>
      <c r="C34" s="474"/>
      <c r="D34" s="474"/>
      <c r="E34" s="474"/>
      <c r="F34" s="474"/>
      <c r="G34" s="474"/>
      <c r="H34" s="474"/>
      <c r="I34" s="474"/>
      <c r="J34" s="474"/>
    </row>
    <row r="35" spans="1:10" s="473" customFormat="1" ht="18.75">
      <c r="A35" s="474"/>
      <c r="B35" s="474"/>
      <c r="C35" s="474"/>
      <c r="D35" s="474"/>
      <c r="E35" s="474"/>
      <c r="F35" s="474"/>
      <c r="G35" s="474"/>
      <c r="H35" s="474"/>
      <c r="I35" s="474"/>
      <c r="J35" s="474"/>
    </row>
    <row r="36" spans="1:10" s="473" customFormat="1" ht="18.75">
      <c r="A36" s="474"/>
      <c r="B36" s="474"/>
      <c r="C36" s="474"/>
      <c r="D36" s="474"/>
      <c r="E36" s="474"/>
      <c r="F36" s="474"/>
      <c r="G36" s="474"/>
      <c r="H36" s="474"/>
      <c r="I36" s="474"/>
      <c r="J36" s="474"/>
    </row>
    <row r="37" spans="1:10" s="473" customFormat="1" ht="18.75">
      <c r="A37" s="474"/>
      <c r="B37" s="474"/>
      <c r="C37" s="474"/>
      <c r="D37" s="474"/>
      <c r="E37" s="474"/>
      <c r="F37" s="474"/>
      <c r="G37" s="474"/>
      <c r="H37" s="474"/>
      <c r="I37" s="474"/>
      <c r="J37" s="474"/>
    </row>
    <row r="38" spans="1:10" s="473" customFormat="1" ht="18"/>
    <row r="39" spans="1:10" s="473" customFormat="1" ht="18"/>
    <row r="40" spans="1:10" s="473" customFormat="1" ht="18"/>
    <row r="41" spans="1:10" s="473" customFormat="1" ht="18"/>
    <row r="42" spans="1:10" s="473" customFormat="1" ht="18"/>
    <row r="43" spans="1:10" s="473" customFormat="1" ht="18"/>
    <row r="44" spans="1:10" s="473" customFormat="1" ht="18"/>
    <row r="45" spans="1:10" s="473" customFormat="1" ht="18"/>
    <row r="46" spans="1:10" s="473" customFormat="1" ht="18"/>
    <row r="47" spans="1:10" s="473" customFormat="1" ht="18"/>
    <row r="48" spans="1:10" s="473" customFormat="1" ht="18"/>
    <row r="49" s="473" customFormat="1" ht="18"/>
    <row r="50" s="473" customFormat="1" ht="18"/>
    <row r="51" s="473" customFormat="1" ht="18"/>
    <row r="52" s="473" customFormat="1" ht="18"/>
    <row r="53" s="473" customFormat="1" ht="18"/>
    <row r="54" s="473" customFormat="1" ht="18"/>
    <row r="55" s="473" customFormat="1" ht="18"/>
    <row r="56" s="473" customFormat="1" ht="18"/>
    <row r="57" s="473" customFormat="1" ht="18"/>
    <row r="58" s="473" customFormat="1" ht="18"/>
    <row r="59" s="473" customFormat="1" ht="18"/>
    <row r="60" s="473" customFormat="1" ht="18"/>
    <row r="61" s="473" customFormat="1" ht="18"/>
    <row r="62" s="473" customFormat="1" ht="18"/>
    <row r="63" s="473" customFormat="1" ht="18"/>
    <row r="64" s="473" customFormat="1" ht="18"/>
    <row r="65" s="473" customFormat="1" ht="18"/>
    <row r="66" s="473" customFormat="1" ht="18"/>
    <row r="67" s="473" customFormat="1" ht="18"/>
    <row r="68" s="473" customFormat="1" ht="18"/>
    <row r="69" s="473" customFormat="1" ht="18"/>
    <row r="70" s="473" customFormat="1" ht="18"/>
    <row r="71" s="473" customFormat="1" ht="18"/>
    <row r="72" s="473" customFormat="1" ht="18"/>
    <row r="73" s="473" customFormat="1" ht="18"/>
    <row r="74" s="473" customFormat="1" ht="18"/>
    <row r="75" s="473" customFormat="1" ht="18"/>
    <row r="76" s="473" customFormat="1" ht="18"/>
    <row r="77" s="473" customFormat="1" ht="18"/>
    <row r="78" s="473" customFormat="1" ht="18"/>
    <row r="79" s="473" customFormat="1" ht="18"/>
    <row r="80" s="473" customFormat="1" ht="18"/>
    <row r="81" s="473" customFormat="1" ht="18"/>
    <row r="82" s="473" customFormat="1" ht="18"/>
    <row r="83" s="473" customFormat="1" ht="18"/>
    <row r="84" s="473" customFormat="1" ht="18"/>
    <row r="85" s="473" customFormat="1" ht="18"/>
    <row r="86" s="473" customFormat="1" ht="18"/>
    <row r="87" s="473" customFormat="1" ht="18"/>
    <row r="88" s="473" customFormat="1" ht="18"/>
    <row r="89" s="473" customFormat="1" ht="18"/>
    <row r="90" s="473" customFormat="1" ht="18"/>
    <row r="91" s="473" customFormat="1" ht="18"/>
    <row r="92" s="473" customFormat="1" ht="18"/>
    <row r="93" s="473" customFormat="1" ht="18"/>
    <row r="94" s="473" customFormat="1" ht="18"/>
    <row r="95" s="473" customFormat="1" ht="18"/>
    <row r="96" s="473" customFormat="1" ht="18"/>
    <row r="97" s="473" customFormat="1" ht="18"/>
    <row r="98" s="473" customFormat="1" ht="18"/>
    <row r="99" s="473" customFormat="1" ht="18"/>
    <row r="100" s="473" customFormat="1" ht="18"/>
    <row r="101" s="473" customFormat="1" ht="18"/>
    <row r="102" s="473" customFormat="1" ht="18"/>
    <row r="103" s="473" customFormat="1" ht="18"/>
    <row r="104" s="473" customFormat="1" ht="18"/>
    <row r="105" s="473" customFormat="1" ht="18"/>
    <row r="106" s="473" customFormat="1" ht="18"/>
    <row r="107" s="473" customFormat="1" ht="18"/>
    <row r="108" s="473" customFormat="1" ht="18"/>
    <row r="109" s="473" customFormat="1" ht="18"/>
    <row r="110" s="473" customFormat="1" ht="18"/>
    <row r="111" s="473" customFormat="1" ht="18"/>
    <row r="112" s="473" customFormat="1" ht="18"/>
    <row r="113" s="473" customFormat="1" ht="18"/>
    <row r="114" s="473" customFormat="1" ht="18"/>
    <row r="115" s="473" customFormat="1" ht="18"/>
    <row r="116" s="473" customFormat="1" ht="18"/>
    <row r="117" s="473" customFormat="1" ht="18"/>
    <row r="118" s="473" customFormat="1" ht="18"/>
    <row r="119" s="473" customFormat="1" ht="18"/>
    <row r="120" s="473" customFormat="1" ht="18"/>
    <row r="121" s="473" customFormat="1" ht="18"/>
    <row r="122" s="473" customFormat="1" ht="18"/>
    <row r="123" s="473" customFormat="1" ht="18"/>
    <row r="124" s="473" customFormat="1" ht="18"/>
    <row r="125" s="473" customFormat="1" ht="18"/>
    <row r="126" s="473" customFormat="1" ht="18"/>
    <row r="127" s="473" customFormat="1" ht="18"/>
    <row r="128" s="473" customFormat="1" ht="18"/>
    <row r="129" s="473" customFormat="1" ht="18"/>
    <row r="130" s="473" customFormat="1" ht="18"/>
    <row r="131" s="473" customFormat="1" ht="18"/>
    <row r="132" s="473" customFormat="1" ht="18"/>
    <row r="133" s="473" customFormat="1" ht="18"/>
    <row r="134" s="473" customFormat="1" ht="18"/>
  </sheetData>
  <mergeCells count="3">
    <mergeCell ref="B1:AB2"/>
    <mergeCell ref="Q4:R4"/>
    <mergeCell ref="K5:L5"/>
  </mergeCells>
  <pageMargins left="0.75" right="0.75" top="1" bottom="1" header="0.5" footer="0.5"/>
  <pageSetup paperSize="9" orientation="portrait" horizontalDpi="360" verticalDpi="36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Drop Down 1">
              <controlPr defaultSize="0" autoLine="0" autoPict="0">
                <anchor>
                  <from>
                    <xdr:col>7</xdr:col>
                    <xdr:colOff>9525</xdr:colOff>
                    <xdr:row>5</xdr:row>
                    <xdr:rowOff>19050</xdr:rowOff>
                  </from>
                  <to>
                    <xdr:col>20</xdr:col>
                    <xdr:colOff>142875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0"/>
  <sheetViews>
    <sheetView topLeftCell="A10" zoomScale="85" zoomScaleNormal="85" workbookViewId="0">
      <selection activeCell="F23" sqref="F23"/>
    </sheetView>
  </sheetViews>
  <sheetFormatPr defaultRowHeight="15"/>
  <cols>
    <col min="2" max="2" width="102" customWidth="1"/>
    <col min="3" max="3" width="12.7109375" customWidth="1"/>
    <col min="4" max="4" width="25.5703125" customWidth="1"/>
    <col min="5" max="5" width="24" customWidth="1"/>
    <col min="6" max="6" width="20.5703125" customWidth="1"/>
  </cols>
  <sheetData>
    <row r="1" spans="2:6" ht="15.75" thickBot="1"/>
    <row r="2" spans="2:6" ht="66.75" customHeight="1" thickBot="1">
      <c r="B2" s="110" t="s">
        <v>133</v>
      </c>
      <c r="C2" s="111" t="s">
        <v>134</v>
      </c>
      <c r="D2" s="111" t="s">
        <v>135</v>
      </c>
      <c r="E2" s="111" t="s">
        <v>136</v>
      </c>
      <c r="F2" s="112"/>
    </row>
    <row r="3" spans="2:6" ht="67.5" customHeight="1" thickBot="1">
      <c r="B3" s="113" t="s">
        <v>137</v>
      </c>
      <c r="C3" s="114" t="s">
        <v>138</v>
      </c>
      <c r="D3" s="114" t="s">
        <v>139</v>
      </c>
      <c r="E3" s="114" t="s">
        <v>140</v>
      </c>
      <c r="F3" s="115"/>
    </row>
    <row r="4" spans="2:6" ht="46.5" customHeight="1" thickBot="1">
      <c r="B4" s="116" t="s">
        <v>141</v>
      </c>
      <c r="C4" s="117" t="s">
        <v>144</v>
      </c>
      <c r="D4" s="117" t="s">
        <v>145</v>
      </c>
      <c r="E4" s="114" t="s">
        <v>142</v>
      </c>
      <c r="F4" s="115"/>
    </row>
    <row r="5" spans="2:6" ht="65.25" customHeight="1" thickBot="1">
      <c r="B5" s="116" t="s">
        <v>143</v>
      </c>
      <c r="C5" s="117" t="s">
        <v>144</v>
      </c>
      <c r="D5" s="117" t="s">
        <v>145</v>
      </c>
      <c r="E5" s="114" t="s">
        <v>146</v>
      </c>
      <c r="F5" s="115"/>
    </row>
    <row r="6" spans="2:6" ht="32.25" customHeight="1" thickBot="1">
      <c r="B6" s="116" t="s">
        <v>147</v>
      </c>
      <c r="C6" s="114" t="s">
        <v>138</v>
      </c>
      <c r="D6" s="114" t="s">
        <v>139</v>
      </c>
      <c r="E6" s="118" t="s">
        <v>148</v>
      </c>
      <c r="F6" s="115"/>
    </row>
    <row r="7" spans="2:6" ht="32.25" customHeight="1" thickBot="1">
      <c r="B7" s="116" t="s">
        <v>149</v>
      </c>
      <c r="C7" s="114" t="s">
        <v>138</v>
      </c>
      <c r="D7" s="114" t="s">
        <v>139</v>
      </c>
      <c r="E7" s="118" t="s">
        <v>148</v>
      </c>
      <c r="F7" s="115"/>
    </row>
    <row r="8" spans="2:6" ht="32.25" customHeight="1" thickBot="1">
      <c r="B8" s="116" t="s">
        <v>150</v>
      </c>
      <c r="C8" s="114" t="s">
        <v>138</v>
      </c>
      <c r="D8" s="114" t="s">
        <v>139</v>
      </c>
      <c r="E8" s="118" t="s">
        <v>148</v>
      </c>
      <c r="F8" s="115"/>
    </row>
    <row r="9" spans="2:6" ht="32.25" customHeight="1" thickBot="1">
      <c r="B9" s="116" t="s">
        <v>151</v>
      </c>
      <c r="C9" s="114" t="s">
        <v>138</v>
      </c>
      <c r="D9" s="114" t="s">
        <v>139</v>
      </c>
      <c r="E9" s="118" t="s">
        <v>148</v>
      </c>
      <c r="F9" s="115"/>
    </row>
    <row r="10" spans="2:6" ht="52.5" customHeight="1" thickBot="1">
      <c r="B10" s="116" t="s">
        <v>152</v>
      </c>
      <c r="C10" s="119" t="s">
        <v>153</v>
      </c>
      <c r="D10" s="119" t="s">
        <v>154</v>
      </c>
      <c r="E10" s="114" t="s">
        <v>155</v>
      </c>
      <c r="F10" s="115"/>
    </row>
    <row r="11" spans="2:6" ht="52.5" customHeight="1" thickBot="1">
      <c r="B11" s="116" t="s">
        <v>156</v>
      </c>
      <c r="C11" s="119" t="s">
        <v>153</v>
      </c>
      <c r="D11" s="119" t="s">
        <v>157</v>
      </c>
      <c r="E11" s="114" t="s">
        <v>155</v>
      </c>
      <c r="F11" s="115"/>
    </row>
    <row r="12" spans="2:6" ht="52.5" customHeight="1" thickBot="1">
      <c r="B12" s="116" t="s">
        <v>158</v>
      </c>
      <c r="C12" s="119" t="s">
        <v>153</v>
      </c>
      <c r="D12" s="119" t="s">
        <v>154</v>
      </c>
      <c r="E12" s="114" t="s">
        <v>159</v>
      </c>
      <c r="F12" s="115"/>
    </row>
    <row r="13" spans="2:6" ht="53.25" customHeight="1" thickBot="1">
      <c r="B13" s="116" t="s">
        <v>160</v>
      </c>
      <c r="C13" s="119" t="s">
        <v>153</v>
      </c>
      <c r="D13" s="119" t="s">
        <v>154</v>
      </c>
      <c r="E13" s="114" t="s">
        <v>159</v>
      </c>
      <c r="F13" s="115"/>
    </row>
    <row r="14" spans="2:6" ht="36.75" customHeight="1" thickBot="1">
      <c r="B14" s="113" t="s">
        <v>161</v>
      </c>
      <c r="C14" s="119" t="s">
        <v>153</v>
      </c>
      <c r="D14" s="119" t="s">
        <v>154</v>
      </c>
      <c r="E14" s="114" t="s">
        <v>162</v>
      </c>
      <c r="F14" s="115"/>
    </row>
    <row r="15" spans="2:6" ht="36.75" customHeight="1" thickBot="1">
      <c r="B15" s="113" t="s">
        <v>249</v>
      </c>
      <c r="C15" s="119" t="s">
        <v>153</v>
      </c>
      <c r="D15" s="119" t="s">
        <v>154</v>
      </c>
      <c r="E15" s="114" t="s">
        <v>250</v>
      </c>
      <c r="F15" s="115"/>
    </row>
    <row r="18" spans="2:3" ht="15.75" thickBot="1">
      <c r="B18" t="s">
        <v>915</v>
      </c>
    </row>
    <row r="19" spans="2:3" ht="15.75" thickBot="1">
      <c r="B19" s="618" t="s">
        <v>916</v>
      </c>
      <c r="C19" s="621" t="s">
        <v>918</v>
      </c>
    </row>
    <row r="20" spans="2:3" ht="15.75" thickBot="1">
      <c r="B20" s="619" t="s">
        <v>917</v>
      </c>
      <c r="C20" s="620" t="s">
        <v>919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J17"/>
  <sheetViews>
    <sheetView zoomScale="115" zoomScaleNormal="115" workbookViewId="0">
      <selection activeCell="G18" sqref="G18"/>
    </sheetView>
  </sheetViews>
  <sheetFormatPr defaultRowHeight="15" outlineLevelCol="1"/>
  <cols>
    <col min="1" max="1" width="4.42578125" customWidth="1"/>
    <col min="4" max="4" width="11.42578125" bestFit="1" customWidth="1"/>
    <col min="7" max="7" width="11.140625" customWidth="1"/>
    <col min="26" max="26" width="8.28515625" customWidth="1"/>
    <col min="27" max="35" width="9.42578125" hidden="1" customWidth="1" outlineLevel="1"/>
    <col min="36" max="36" width="9.140625" collapsed="1"/>
  </cols>
  <sheetData>
    <row r="1" spans="2:35" ht="55.5" customHeight="1">
      <c r="B1" s="658" t="s">
        <v>172</v>
      </c>
      <c r="C1" s="659"/>
      <c r="D1" s="659"/>
      <c r="E1" s="659"/>
      <c r="F1" s="659"/>
    </row>
    <row r="2" spans="2:35" ht="15.75" thickBot="1">
      <c r="B2" s="146"/>
      <c r="C2" s="146"/>
      <c r="D2" s="146"/>
      <c r="E2" s="146"/>
      <c r="F2" s="146"/>
      <c r="AA2" s="664" t="s">
        <v>171</v>
      </c>
      <c r="AB2" s="664"/>
      <c r="AC2" s="664"/>
      <c r="AD2" s="664"/>
    </row>
    <row r="3" spans="2:35" ht="18">
      <c r="B3" s="665" t="s">
        <v>178</v>
      </c>
      <c r="C3" s="665"/>
      <c r="D3" s="665"/>
      <c r="E3" s="665"/>
      <c r="F3" s="665"/>
      <c r="AA3" s="162">
        <f>$C$7</f>
        <v>3</v>
      </c>
      <c r="AB3" s="161">
        <f>$C$8</f>
        <v>3.7</v>
      </c>
      <c r="AC3" s="161">
        <f>$C$9</f>
        <v>4</v>
      </c>
      <c r="AD3" s="127">
        <f>(AB3-AA3)*(AC4-AA4)</f>
        <v>0.21000000000000002</v>
      </c>
      <c r="AE3" s="128"/>
      <c r="AF3" s="161">
        <f>$C$7</f>
        <v>3</v>
      </c>
      <c r="AG3" s="161">
        <f>$C$8</f>
        <v>3.7</v>
      </c>
      <c r="AH3" s="161">
        <f>$C$9</f>
        <v>4</v>
      </c>
      <c r="AI3" s="129">
        <f>(AG3-AF3)*(AH4-AF4)</f>
        <v>0.21000000000000008</v>
      </c>
    </row>
    <row r="4" spans="2:35">
      <c r="B4" s="147"/>
      <c r="C4" s="147"/>
      <c r="D4" s="147"/>
      <c r="E4" s="147"/>
      <c r="F4" s="147"/>
      <c r="AA4" s="7">
        <f>$D$7</f>
        <v>0.4</v>
      </c>
      <c r="AB4" s="130">
        <f>AA4+AD4</f>
        <v>0.6100000000000001</v>
      </c>
      <c r="AC4">
        <f>$D$9</f>
        <v>0.7</v>
      </c>
      <c r="AD4" s="131">
        <f>AD3/(AC3-AA3)</f>
        <v>0.21000000000000002</v>
      </c>
      <c r="AE4" s="132"/>
      <c r="AF4">
        <f>$F$7</f>
        <v>0.6</v>
      </c>
      <c r="AG4" s="133">
        <f>AF4+AI4</f>
        <v>0.81</v>
      </c>
      <c r="AH4">
        <f>$F$9</f>
        <v>0.9</v>
      </c>
      <c r="AI4" s="134">
        <f>AI3/(AH3-AF3)</f>
        <v>0.21000000000000008</v>
      </c>
    </row>
    <row r="5" spans="2:35">
      <c r="B5" s="13"/>
      <c r="C5" s="13"/>
      <c r="D5" s="148" t="s">
        <v>173</v>
      </c>
      <c r="E5" s="149">
        <v>0.8</v>
      </c>
      <c r="F5" s="148">
        <v>0.9</v>
      </c>
      <c r="AA5" s="135"/>
      <c r="AB5" s="136"/>
      <c r="AC5" s="136"/>
      <c r="AD5" s="136"/>
      <c r="AE5" s="132"/>
      <c r="AF5" s="136"/>
      <c r="AG5" s="136"/>
      <c r="AH5" s="136"/>
      <c r="AI5" s="137"/>
    </row>
    <row r="6" spans="2:35" ht="15.75" thickBot="1">
      <c r="B6" s="13"/>
      <c r="C6" s="13"/>
      <c r="D6" s="150">
        <v>1</v>
      </c>
      <c r="E6" s="151">
        <v>12</v>
      </c>
      <c r="F6" s="150">
        <v>15</v>
      </c>
      <c r="AA6" s="135"/>
      <c r="AB6" s="136"/>
      <c r="AC6" s="136"/>
      <c r="AD6">
        <f>$D$6</f>
        <v>1</v>
      </c>
      <c r="AE6" s="138">
        <f>$E$6</f>
        <v>12</v>
      </c>
      <c r="AF6">
        <f>$F$6</f>
        <v>15</v>
      </c>
      <c r="AG6" s="139">
        <f>(AE6-AD6)*(AG4-AB4)</f>
        <v>2.1999999999999993</v>
      </c>
      <c r="AH6" s="136"/>
      <c r="AI6" s="137"/>
    </row>
    <row r="7" spans="2:35" ht="15.75" thickBot="1">
      <c r="B7" s="1" t="s">
        <v>174</v>
      </c>
      <c r="C7" s="152">
        <v>3</v>
      </c>
      <c r="D7" s="153">
        <v>0.4</v>
      </c>
      <c r="E7" s="154"/>
      <c r="F7" s="155">
        <v>0.6</v>
      </c>
      <c r="AA7" s="135"/>
      <c r="AB7" s="136"/>
      <c r="AC7" s="136"/>
      <c r="AD7" s="136"/>
      <c r="AE7" s="140">
        <f>AB4+AG7</f>
        <v>0.76714285714285713</v>
      </c>
      <c r="AF7" s="136"/>
      <c r="AG7" s="139">
        <f>AG6/(AF6-AD6)</f>
        <v>0.15714285714285708</v>
      </c>
      <c r="AH7" s="136"/>
      <c r="AI7" s="137"/>
    </row>
    <row r="8" spans="2:35" ht="36.75" thickBot="1">
      <c r="B8" s="149" t="s">
        <v>175</v>
      </c>
      <c r="C8" s="152">
        <v>3.7</v>
      </c>
      <c r="E8" s="156">
        <f>$AE$7</f>
        <v>0.76714285714285713</v>
      </c>
      <c r="AA8" s="141"/>
      <c r="AB8" s="142"/>
      <c r="AC8" s="142"/>
      <c r="AD8" s="142"/>
      <c r="AE8" s="142"/>
      <c r="AF8" s="142"/>
      <c r="AG8" s="142"/>
      <c r="AH8" s="142"/>
      <c r="AI8" s="143"/>
    </row>
    <row r="9" spans="2:35">
      <c r="B9" s="1" t="s">
        <v>176</v>
      </c>
      <c r="C9" s="152">
        <v>4</v>
      </c>
      <c r="D9" s="155">
        <v>0.7</v>
      </c>
      <c r="E9" s="157"/>
      <c r="F9" s="155">
        <v>0.9</v>
      </c>
    </row>
    <row r="10" spans="2:35">
      <c r="B10" s="13"/>
      <c r="C10" s="13"/>
      <c r="D10" s="158"/>
      <c r="E10" s="158"/>
      <c r="F10" s="158"/>
    </row>
    <row r="11" spans="2:35" ht="15.75" thickBot="1">
      <c r="B11" s="13"/>
      <c r="C11" s="13"/>
      <c r="D11" s="158"/>
      <c r="E11" s="158"/>
      <c r="F11" s="158"/>
      <c r="AA11" s="660" t="s">
        <v>171</v>
      </c>
      <c r="AB11" s="660"/>
      <c r="AC11" s="660"/>
    </row>
    <row r="12" spans="2:35" ht="18">
      <c r="B12" s="665" t="s">
        <v>177</v>
      </c>
      <c r="C12" s="665"/>
      <c r="D12" s="665"/>
      <c r="E12" s="665"/>
      <c r="F12" s="665"/>
      <c r="AA12" s="162">
        <f>$C$15</f>
        <v>12</v>
      </c>
      <c r="AB12" s="4">
        <f>$C$16</f>
        <v>14</v>
      </c>
      <c r="AC12" s="161">
        <f>$C$17</f>
        <v>24</v>
      </c>
      <c r="AD12" s="129">
        <f>(AB12-AA12)*(AC13-AA13)</f>
        <v>100</v>
      </c>
    </row>
    <row r="13" spans="2:35" ht="18.75" thickBot="1">
      <c r="B13" s="159"/>
      <c r="C13" s="159"/>
      <c r="D13" s="159"/>
      <c r="E13" s="159"/>
      <c r="F13" s="159"/>
      <c r="AA13" s="9">
        <f>$D$15</f>
        <v>250</v>
      </c>
      <c r="AB13" s="144">
        <f>AA13+AD13</f>
        <v>258.33333333333331</v>
      </c>
      <c r="AC13" s="10">
        <f>$D$17</f>
        <v>300</v>
      </c>
      <c r="AD13" s="145">
        <f>AD12/(AC12-AA12)</f>
        <v>8.3333333333333339</v>
      </c>
    </row>
    <row r="14" spans="2:35">
      <c r="B14" s="13"/>
      <c r="C14" s="13"/>
      <c r="D14" s="148" t="s">
        <v>173</v>
      </c>
      <c r="E14" s="158"/>
      <c r="G14" s="158"/>
    </row>
    <row r="15" spans="2:35" ht="15.75" thickBot="1">
      <c r="B15" s="1" t="s">
        <v>174</v>
      </c>
      <c r="C15" s="152">
        <v>12</v>
      </c>
      <c r="D15" s="153">
        <v>250</v>
      </c>
      <c r="E15" s="158"/>
      <c r="G15" s="163"/>
    </row>
    <row r="16" spans="2:35" ht="36.75" thickBot="1">
      <c r="B16" s="149" t="s">
        <v>175</v>
      </c>
      <c r="C16" s="160">
        <v>14</v>
      </c>
      <c r="D16" s="156">
        <f>$AB$13</f>
        <v>258.33333333333331</v>
      </c>
      <c r="E16" s="158"/>
      <c r="G16" s="158"/>
    </row>
    <row r="17" spans="2:6">
      <c r="B17" s="1" t="s">
        <v>176</v>
      </c>
      <c r="C17" s="152">
        <v>24</v>
      </c>
      <c r="D17" s="153">
        <v>300</v>
      </c>
      <c r="E17" s="158"/>
      <c r="F17" s="158"/>
    </row>
  </sheetData>
  <mergeCells count="5">
    <mergeCell ref="AA2:AD2"/>
    <mergeCell ref="AA11:AC11"/>
    <mergeCell ref="B1:F1"/>
    <mergeCell ref="B12:F12"/>
    <mergeCell ref="B3:F3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Q21"/>
  <sheetViews>
    <sheetView workbookViewId="0">
      <selection activeCell="K12" sqref="K12"/>
    </sheetView>
  </sheetViews>
  <sheetFormatPr defaultRowHeight="15"/>
  <cols>
    <col min="1" max="1" width="9.140625" style="509"/>
    <col min="2" max="2" width="17.42578125" style="509" customWidth="1"/>
    <col min="3" max="3" width="9" style="509" customWidth="1"/>
    <col min="4" max="5" width="9.140625" style="509"/>
    <col min="6" max="6" width="12" style="509" customWidth="1"/>
    <col min="7" max="7" width="9.5703125" style="510" bestFit="1" customWidth="1"/>
    <col min="8" max="17" width="9.140625" style="509"/>
    <col min="18" max="18" width="11" style="509" bestFit="1" customWidth="1"/>
    <col min="19" max="16384" width="9.140625" style="509"/>
  </cols>
  <sheetData>
    <row r="2" spans="2:17" ht="15.75" thickBot="1"/>
    <row r="3" spans="2:17" ht="15.75" thickBot="1">
      <c r="B3" s="666" t="s">
        <v>89</v>
      </c>
      <c r="C3" s="667"/>
      <c r="D3" s="511"/>
      <c r="E3" s="511"/>
      <c r="F3" s="512" t="s">
        <v>683</v>
      </c>
      <c r="G3" s="523">
        <f>$C$5-$C$6</f>
        <v>264</v>
      </c>
      <c r="H3" s="512" t="s">
        <v>90</v>
      </c>
      <c r="N3" s="511"/>
      <c r="O3" s="511"/>
      <c r="P3" s="511"/>
      <c r="Q3" s="511"/>
    </row>
    <row r="4" spans="2:17">
      <c r="B4" s="525" t="s">
        <v>682</v>
      </c>
      <c r="C4" s="524">
        <v>1000</v>
      </c>
      <c r="F4" s="512" t="s">
        <v>681</v>
      </c>
      <c r="G4" s="635">
        <v>285</v>
      </c>
      <c r="H4" s="512" t="s">
        <v>90</v>
      </c>
      <c r="I4" s="509" t="s">
        <v>676</v>
      </c>
    </row>
    <row r="5" spans="2:17">
      <c r="B5" s="518" t="s">
        <v>680</v>
      </c>
      <c r="C5" s="524">
        <v>300</v>
      </c>
      <c r="F5" s="512" t="s">
        <v>679</v>
      </c>
      <c r="G5" s="514">
        <f>1000/$G$4</f>
        <v>3.5087719298245612</v>
      </c>
      <c r="H5" s="512" t="s">
        <v>673</v>
      </c>
      <c r="I5" s="509" t="s">
        <v>672</v>
      </c>
      <c r="N5" s="511"/>
      <c r="O5" s="511"/>
      <c r="P5" s="511"/>
      <c r="Q5" s="511"/>
    </row>
    <row r="6" spans="2:17" ht="15.75" thickBot="1">
      <c r="B6" s="518" t="s">
        <v>678</v>
      </c>
      <c r="C6" s="524">
        <v>36</v>
      </c>
      <c r="F6" s="512" t="s">
        <v>677</v>
      </c>
      <c r="G6" s="635">
        <v>285</v>
      </c>
      <c r="H6" s="512" t="s">
        <v>90</v>
      </c>
      <c r="I6" s="509" t="s">
        <v>676</v>
      </c>
    </row>
    <row r="7" spans="2:17" ht="15.75" thickBot="1">
      <c r="B7" s="666" t="s">
        <v>675</v>
      </c>
      <c r="C7" s="667"/>
      <c r="F7" s="512" t="s">
        <v>674</v>
      </c>
      <c r="G7" s="514">
        <f>1000/$G$6</f>
        <v>3.5087719298245612</v>
      </c>
      <c r="H7" s="512" t="s">
        <v>673</v>
      </c>
      <c r="I7" s="509" t="s">
        <v>672</v>
      </c>
      <c r="N7" s="511"/>
      <c r="O7" s="511"/>
      <c r="P7" s="511"/>
      <c r="Q7" s="511"/>
    </row>
    <row r="8" spans="2:17">
      <c r="B8" s="522" t="s">
        <v>209</v>
      </c>
      <c r="C8" s="521" t="s">
        <v>77</v>
      </c>
      <c r="F8" s="512" t="s">
        <v>671</v>
      </c>
      <c r="G8" s="514">
        <f>100*(VLOOKUP($C$13,'Е бетона'!X5:Z19,2,FALSE))</f>
        <v>28.300000000000004</v>
      </c>
      <c r="H8" s="512" t="s">
        <v>666</v>
      </c>
    </row>
    <row r="9" spans="2:17">
      <c r="B9" s="518" t="s">
        <v>670</v>
      </c>
      <c r="C9" s="517">
        <f>VLOOKUP($C$8,'Е бетона'!Q5:S18,2,FALSE)</f>
        <v>14.5</v>
      </c>
      <c r="F9" s="512" t="s">
        <v>669</v>
      </c>
      <c r="G9" s="514">
        <f>$G$8*$G$5</f>
        <v>99.298245614035096</v>
      </c>
      <c r="H9" s="512" t="s">
        <v>666</v>
      </c>
      <c r="N9" s="511"/>
      <c r="O9" s="511"/>
      <c r="P9" s="511"/>
      <c r="Q9" s="511"/>
    </row>
    <row r="10" spans="2:17">
      <c r="B10" s="518" t="s">
        <v>668</v>
      </c>
      <c r="C10" s="517">
        <f>VLOOKUP($C$8,'Е бетона'!Q5:S18,3,FALSE)</f>
        <v>1.05</v>
      </c>
      <c r="F10" s="512" t="s">
        <v>667</v>
      </c>
      <c r="G10" s="514">
        <f>$G$8*$G$7</f>
        <v>99.298245614035096</v>
      </c>
      <c r="H10" s="512" t="s">
        <v>666</v>
      </c>
    </row>
    <row r="11" spans="2:17">
      <c r="B11" s="520" t="s">
        <v>646</v>
      </c>
      <c r="C11" s="519" t="s">
        <v>290</v>
      </c>
      <c r="F11" s="512" t="s">
        <v>665</v>
      </c>
      <c r="G11" s="514">
        <f>$G$9*$G$7</f>
        <v>348.41489689135119</v>
      </c>
      <c r="H11" s="512" t="s">
        <v>666</v>
      </c>
      <c r="N11" s="511"/>
      <c r="O11" s="511"/>
      <c r="P11" s="511"/>
      <c r="Q11" s="511"/>
    </row>
    <row r="12" spans="2:17">
      <c r="B12" s="518" t="s">
        <v>664</v>
      </c>
      <c r="C12" s="517">
        <f>VLOOKUP($C$11,'Е бетона'!Q23:R25,2,FALSE)</f>
        <v>300</v>
      </c>
      <c r="F12" s="512" t="s">
        <v>663</v>
      </c>
      <c r="G12" s="514">
        <f>$C$12*$G$11/$G$4</f>
        <v>366.75252304352756</v>
      </c>
      <c r="H12" s="512" t="s">
        <v>660</v>
      </c>
    </row>
    <row r="13" spans="2:17" ht="15.75" thickBot="1">
      <c r="B13" s="516" t="s">
        <v>662</v>
      </c>
      <c r="C13" s="515">
        <v>6</v>
      </c>
      <c r="F13" s="512" t="s">
        <v>661</v>
      </c>
      <c r="G13" s="514">
        <f>0.25*$C$10*$C$4</f>
        <v>262.5</v>
      </c>
      <c r="H13" s="512" t="s">
        <v>660</v>
      </c>
      <c r="N13" s="511"/>
      <c r="O13" s="511"/>
      <c r="P13" s="511"/>
      <c r="Q13" s="511"/>
    </row>
    <row r="14" spans="2:17">
      <c r="F14" s="512" t="s">
        <v>659</v>
      </c>
      <c r="G14" s="514">
        <f>0.75*$G$12*$G$3/10000</f>
        <v>7.2616999562618449</v>
      </c>
      <c r="H14" s="512" t="s">
        <v>650</v>
      </c>
      <c r="I14" s="509" t="s">
        <v>656</v>
      </c>
      <c r="J14" s="509" t="s">
        <v>658</v>
      </c>
    </row>
    <row r="15" spans="2:17">
      <c r="F15" s="512" t="s">
        <v>657</v>
      </c>
      <c r="G15" s="514">
        <f>0.75*$G$12*2*$G$3/10000</f>
        <v>14.52339991252369</v>
      </c>
      <c r="H15" s="512" t="s">
        <v>650</v>
      </c>
      <c r="I15" s="509" t="s">
        <v>656</v>
      </c>
      <c r="J15" s="509" t="s">
        <v>655</v>
      </c>
      <c r="N15" s="511"/>
      <c r="O15" s="511"/>
      <c r="P15" s="511"/>
      <c r="Q15" s="511"/>
    </row>
    <row r="16" spans="2:17">
      <c r="F16" s="512" t="s">
        <v>654</v>
      </c>
      <c r="G16" s="514">
        <f>$G$12*$G$3/10000</f>
        <v>9.6822666083491278</v>
      </c>
      <c r="H16" s="512" t="s">
        <v>650</v>
      </c>
      <c r="I16" s="509" t="s">
        <v>653</v>
      </c>
      <c r="J16" s="509" t="s">
        <v>652</v>
      </c>
    </row>
    <row r="17" spans="2:17">
      <c r="F17" s="512" t="s">
        <v>651</v>
      </c>
      <c r="G17" s="513">
        <f>(0.5*$C$10*$G$3*$C$4)/9810</f>
        <v>14.128440366972477</v>
      </c>
      <c r="H17" s="512" t="s">
        <v>650</v>
      </c>
      <c r="N17" s="511"/>
      <c r="O17" s="511"/>
      <c r="P17" s="511"/>
      <c r="Q17" s="511"/>
    </row>
    <row r="19" spans="2:17" ht="15.75" thickBot="1">
      <c r="N19" s="511"/>
      <c r="O19" s="511"/>
      <c r="P19" s="511"/>
      <c r="Q19" s="511"/>
    </row>
    <row r="20" spans="2:17" ht="19.5" thickBot="1">
      <c r="B20" s="566"/>
      <c r="C20" s="567" t="s">
        <v>802</v>
      </c>
      <c r="D20" s="568"/>
    </row>
    <row r="21" spans="2:17" ht="19.5" thickBot="1">
      <c r="B21" s="569"/>
      <c r="C21" s="567" t="s">
        <v>803</v>
      </c>
      <c r="D21" s="568"/>
      <c r="N21" s="511"/>
      <c r="O21" s="511"/>
      <c r="P21" s="511"/>
      <c r="Q21" s="511"/>
    </row>
  </sheetData>
  <mergeCells count="2">
    <mergeCell ref="B3:C3"/>
    <mergeCell ref="B7:C7"/>
  </mergeCells>
  <pageMargins left="0.7" right="0.7" top="0.75" bottom="0.75" header="0.3" footer="0.3"/>
  <pageSetup paperSize="9" orientation="portrait" horizontalDpi="1200" verticalDpi="12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800-000000000000}">
          <x14:formula1>
            <xm:f>'Е бетона'!$Q$5:$Q$18</xm:f>
          </x14:formula1>
          <xm:sqref>C8</xm:sqref>
        </x14:dataValidation>
        <x14:dataValidation type="list" allowBlank="1" showInputMessage="1" showErrorMessage="1" xr:uid="{00000000-0002-0000-0800-000001000000}">
          <x14:formula1>
            <xm:f>'Е бетона'!$Q$23:$Q$25</xm:f>
          </x14:formula1>
          <xm:sqref>C11</xm:sqref>
        </x14:dataValidation>
        <x14:dataValidation type="list" allowBlank="1" showInputMessage="1" showErrorMessage="1" xr:uid="{00000000-0002-0000-0800-000002000000}">
          <x14:formula1>
            <xm:f>'Е бетона'!$X$5:$X$19</xm:f>
          </x14:formula1>
          <xm:sqref>C13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Z1003"/>
  <sheetViews>
    <sheetView workbookViewId="0">
      <selection activeCell="BC21" sqref="BC21"/>
    </sheetView>
  </sheetViews>
  <sheetFormatPr defaultColWidth="14.42578125" defaultRowHeight="15" customHeight="1"/>
  <cols>
    <col min="1" max="1" width="9.7109375" style="257" customWidth="1"/>
    <col min="2" max="2" width="6" style="257" customWidth="1"/>
    <col min="3" max="3" width="6.140625" style="257" customWidth="1"/>
    <col min="4" max="4" width="6.7109375" style="257" customWidth="1"/>
    <col min="5" max="5" width="0.42578125" style="257" customWidth="1"/>
    <col min="6" max="6" width="6.140625" style="257" customWidth="1"/>
    <col min="7" max="7" width="7" style="257" customWidth="1"/>
    <col min="8" max="8" width="1.140625" style="257" customWidth="1"/>
    <col min="9" max="9" width="6.85546875" style="257" customWidth="1"/>
    <col min="10" max="11" width="6.140625" style="257" customWidth="1"/>
    <col min="12" max="12" width="7.28515625" style="257" customWidth="1"/>
    <col min="13" max="20" width="6.140625" style="257" customWidth="1"/>
    <col min="21" max="21" width="6.7109375" style="257" customWidth="1"/>
    <col min="22" max="22" width="8.7109375" style="257" customWidth="1"/>
    <col min="23" max="23" width="9.28515625" style="257" customWidth="1"/>
    <col min="24" max="52" width="8.7109375" style="257" hidden="1" customWidth="1"/>
    <col min="53" max="16384" width="14.42578125" style="257"/>
  </cols>
  <sheetData>
    <row r="1" spans="1:40" ht="16.5" customHeight="1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</row>
    <row r="2" spans="1:40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</row>
    <row r="3" spans="1:40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5"/>
      <c r="AM3" s="335"/>
      <c r="AN3" s="335"/>
    </row>
    <row r="4" spans="1:40">
      <c r="A4" s="676" t="s">
        <v>359</v>
      </c>
      <c r="B4" s="677"/>
      <c r="C4" s="677"/>
      <c r="D4" s="677"/>
      <c r="E4" s="677"/>
      <c r="F4" s="677"/>
      <c r="G4" s="678"/>
      <c r="H4" s="335"/>
      <c r="I4" s="669" t="s">
        <v>358</v>
      </c>
      <c r="J4" s="670"/>
      <c r="K4" s="670"/>
      <c r="L4" s="670"/>
      <c r="M4" s="670"/>
      <c r="N4" s="335"/>
      <c r="O4" s="669" t="s">
        <v>357</v>
      </c>
      <c r="P4" s="670"/>
      <c r="Q4" s="670"/>
      <c r="R4" s="670"/>
      <c r="S4" s="670"/>
      <c r="T4" s="670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5"/>
    </row>
    <row r="5" spans="1:40" ht="16.5">
      <c r="A5" s="684" t="s">
        <v>356</v>
      </c>
      <c r="B5" s="677"/>
      <c r="C5" s="677"/>
      <c r="D5" s="677"/>
      <c r="E5" s="678"/>
      <c r="F5" s="689" t="s">
        <v>211</v>
      </c>
      <c r="G5" s="678"/>
      <c r="H5" s="335"/>
      <c r="I5" s="335"/>
      <c r="J5" s="382" t="s">
        <v>355</v>
      </c>
      <c r="K5" s="675">
        <f>(K7*K8)/(K6*K9)*10</f>
        <v>302.81649846280141</v>
      </c>
      <c r="L5" s="670"/>
      <c r="M5" s="377" t="s">
        <v>90</v>
      </c>
      <c r="N5" s="335"/>
      <c r="O5" s="335"/>
      <c r="P5" s="335"/>
      <c r="Q5" s="382" t="s">
        <v>354</v>
      </c>
      <c r="R5" s="675">
        <f>F16*K5*(F11/F12)</f>
        <v>363.3797981553617</v>
      </c>
      <c r="S5" s="670"/>
      <c r="T5" s="377" t="s">
        <v>90</v>
      </c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335"/>
    </row>
    <row r="6" spans="1:40" ht="17.25">
      <c r="A6" s="684" t="s">
        <v>353</v>
      </c>
      <c r="B6" s="677"/>
      <c r="C6" s="677"/>
      <c r="D6" s="677"/>
      <c r="E6" s="678"/>
      <c r="F6" s="689">
        <v>8</v>
      </c>
      <c r="G6" s="678"/>
      <c r="H6" s="335"/>
      <c r="I6" s="335"/>
      <c r="J6" s="382" t="s">
        <v>352</v>
      </c>
      <c r="K6" s="675">
        <f>F8*F9*K10</f>
        <v>29.307750000000002</v>
      </c>
      <c r="L6" s="670"/>
      <c r="M6" s="377" t="s">
        <v>341</v>
      </c>
      <c r="N6" s="335"/>
      <c r="O6" s="335"/>
      <c r="P6" s="679" t="s">
        <v>351</v>
      </c>
      <c r="Q6" s="670"/>
      <c r="R6" s="675">
        <f>0.4*F16*K5</f>
        <v>145.35191926214466</v>
      </c>
      <c r="S6" s="670"/>
      <c r="T6" s="381" t="s">
        <v>90</v>
      </c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335"/>
      <c r="AN6" s="335"/>
    </row>
    <row r="7" spans="1:40" ht="17.25">
      <c r="A7" s="684" t="s">
        <v>350</v>
      </c>
      <c r="B7" s="677"/>
      <c r="C7" s="677"/>
      <c r="D7" s="677"/>
      <c r="E7" s="678"/>
      <c r="F7" s="685" t="s">
        <v>78</v>
      </c>
      <c r="G7" s="678"/>
      <c r="H7" s="335"/>
      <c r="I7" s="335"/>
      <c r="J7" s="382" t="s">
        <v>349</v>
      </c>
      <c r="K7" s="675">
        <f>VLOOKUP(F5,AD28:AE33,2,FALSE)*10.194</f>
        <v>4434.3900000000003</v>
      </c>
      <c r="L7" s="670"/>
      <c r="M7" s="377" t="s">
        <v>341</v>
      </c>
      <c r="N7" s="335"/>
      <c r="O7" s="335"/>
      <c r="P7" s="335"/>
      <c r="Q7" s="382" t="s">
        <v>348</v>
      </c>
      <c r="R7" s="675">
        <f>20*F6</f>
        <v>160</v>
      </c>
      <c r="S7" s="670"/>
      <c r="T7" s="381" t="s">
        <v>90</v>
      </c>
      <c r="U7" s="335"/>
      <c r="V7" s="335"/>
      <c r="W7" s="335"/>
      <c r="X7" s="335"/>
      <c r="Y7" s="335"/>
      <c r="Z7" s="335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35"/>
      <c r="AN7" s="335"/>
    </row>
    <row r="8" spans="1:40" ht="17.25">
      <c r="A8" s="684" t="s">
        <v>347</v>
      </c>
      <c r="B8" s="677"/>
      <c r="C8" s="677"/>
      <c r="D8" s="677"/>
      <c r="E8" s="678"/>
      <c r="F8" s="685">
        <v>2.5</v>
      </c>
      <c r="G8" s="678"/>
      <c r="H8" s="335"/>
      <c r="I8" s="335"/>
      <c r="J8" s="382" t="s">
        <v>346</v>
      </c>
      <c r="K8" s="690">
        <f>VLOOKUP(F6,AD37:AE61,2,FALSE)</f>
        <v>0.503</v>
      </c>
      <c r="L8" s="670"/>
      <c r="M8" s="377" t="s">
        <v>341</v>
      </c>
      <c r="N8" s="335"/>
      <c r="O8" s="335"/>
      <c r="P8" s="335"/>
      <c r="Q8" s="335"/>
      <c r="R8" s="675">
        <v>250</v>
      </c>
      <c r="S8" s="670"/>
      <c r="T8" s="381" t="s">
        <v>90</v>
      </c>
      <c r="U8" s="335"/>
      <c r="V8" s="335"/>
      <c r="W8" s="335"/>
      <c r="X8" s="335"/>
      <c r="Y8" s="335"/>
      <c r="Z8" s="335"/>
      <c r="AA8" s="335"/>
      <c r="AB8" s="335"/>
      <c r="AC8" s="335"/>
      <c r="AD8" s="335"/>
      <c r="AE8" s="335"/>
      <c r="AF8" s="335"/>
      <c r="AG8" s="335"/>
      <c r="AH8" s="335"/>
      <c r="AI8" s="335"/>
      <c r="AJ8" s="335"/>
      <c r="AK8" s="335"/>
      <c r="AL8" s="335"/>
      <c r="AM8" s="335"/>
      <c r="AN8" s="335"/>
    </row>
    <row r="9" spans="1:40" ht="16.5">
      <c r="A9" s="684" t="s">
        <v>345</v>
      </c>
      <c r="B9" s="677"/>
      <c r="C9" s="677"/>
      <c r="D9" s="677"/>
      <c r="E9" s="678"/>
      <c r="F9" s="685">
        <v>1</v>
      </c>
      <c r="G9" s="678"/>
      <c r="H9" s="335"/>
      <c r="I9" s="335"/>
      <c r="J9" s="382" t="s">
        <v>344</v>
      </c>
      <c r="K9" s="690">
        <f>PI()*F6/10</f>
        <v>2.5132741228718345</v>
      </c>
      <c r="L9" s="670"/>
      <c r="M9" s="377" t="s">
        <v>2</v>
      </c>
      <c r="N9" s="335"/>
      <c r="O9" s="335"/>
      <c r="P9" s="335"/>
      <c r="Q9" s="335"/>
      <c r="R9" s="335"/>
      <c r="S9" s="335"/>
      <c r="T9" s="335"/>
      <c r="U9" s="335"/>
      <c r="V9" s="335"/>
      <c r="W9" s="335"/>
      <c r="X9" s="335"/>
      <c r="Y9" s="335"/>
      <c r="Z9" s="335"/>
      <c r="AA9" s="335"/>
      <c r="AB9" s="335"/>
      <c r="AC9" s="335"/>
      <c r="AD9" s="335"/>
      <c r="AE9" s="335"/>
      <c r="AF9" s="335"/>
      <c r="AG9" s="335"/>
      <c r="AH9" s="335"/>
      <c r="AI9" s="335"/>
      <c r="AJ9" s="335"/>
      <c r="AK9" s="335"/>
      <c r="AL9" s="335"/>
      <c r="AM9" s="335"/>
      <c r="AN9" s="335"/>
    </row>
    <row r="10" spans="1:40" ht="17.25">
      <c r="A10" s="684" t="s">
        <v>343</v>
      </c>
      <c r="B10" s="677"/>
      <c r="C10" s="677"/>
      <c r="D10" s="677"/>
      <c r="E10" s="678"/>
      <c r="F10" s="685">
        <v>1</v>
      </c>
      <c r="G10" s="678"/>
      <c r="H10" s="335"/>
      <c r="I10" s="335"/>
      <c r="J10" s="382" t="s">
        <v>342</v>
      </c>
      <c r="K10" s="675">
        <f>HLOOKUP(F7,AG28:AQ29,2,FALSE)*10.194</f>
        <v>11.723100000000001</v>
      </c>
      <c r="L10" s="670"/>
      <c r="M10" s="377" t="s">
        <v>341</v>
      </c>
      <c r="N10" s="335"/>
      <c r="O10" s="669" t="s">
        <v>340</v>
      </c>
      <c r="P10" s="670"/>
      <c r="Q10" s="670"/>
      <c r="R10" s="670"/>
      <c r="S10" s="670"/>
      <c r="T10" s="670"/>
      <c r="U10" s="335"/>
      <c r="V10" s="335"/>
      <c r="W10" s="335"/>
      <c r="X10" s="335"/>
      <c r="Y10" s="335"/>
      <c r="Z10" s="335"/>
      <c r="AA10" s="335"/>
      <c r="AB10" s="335"/>
      <c r="AC10" s="335"/>
      <c r="AD10" s="335"/>
      <c r="AE10" s="335"/>
      <c r="AF10" s="335"/>
      <c r="AG10" s="335"/>
      <c r="AH10" s="335"/>
      <c r="AI10" s="335"/>
      <c r="AJ10" s="335"/>
      <c r="AK10" s="335"/>
      <c r="AL10" s="335"/>
      <c r="AM10" s="335"/>
      <c r="AN10" s="335"/>
    </row>
    <row r="11" spans="1:40" ht="17.25">
      <c r="A11" s="684" t="s">
        <v>339</v>
      </c>
      <c r="B11" s="677"/>
      <c r="C11" s="677"/>
      <c r="D11" s="677"/>
      <c r="E11" s="678"/>
      <c r="F11" s="685">
        <v>3.14</v>
      </c>
      <c r="G11" s="678"/>
      <c r="H11" s="335"/>
      <c r="I11" s="669" t="s">
        <v>338</v>
      </c>
      <c r="J11" s="670"/>
      <c r="K11" s="670"/>
      <c r="L11" s="670"/>
      <c r="M11" s="670"/>
      <c r="N11" s="335"/>
      <c r="O11" s="335"/>
      <c r="P11" s="686" t="str">
        <f>ROUND(MAX(R5:S8),1)&amp;" мм"</f>
        <v>363,4 мм</v>
      </c>
      <c r="Q11" s="677"/>
      <c r="R11" s="677"/>
      <c r="S11" s="678"/>
      <c r="T11" s="335"/>
      <c r="U11" s="335"/>
      <c r="V11" s="335"/>
      <c r="W11" s="335"/>
      <c r="X11" s="335"/>
      <c r="Y11" s="335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  <c r="AJ11" s="335"/>
      <c r="AK11" s="335"/>
      <c r="AL11" s="335"/>
      <c r="AM11" s="335"/>
      <c r="AN11" s="335"/>
    </row>
    <row r="12" spans="1:40" ht="17.25">
      <c r="A12" s="684" t="s">
        <v>337</v>
      </c>
      <c r="B12" s="677"/>
      <c r="C12" s="677"/>
      <c r="D12" s="677"/>
      <c r="E12" s="678"/>
      <c r="F12" s="685">
        <v>3.14</v>
      </c>
      <c r="G12" s="678"/>
      <c r="H12" s="335"/>
      <c r="I12" s="335"/>
      <c r="J12" s="382" t="s">
        <v>336</v>
      </c>
      <c r="K12" s="675">
        <f>F10*K5*(F11/F12)</f>
        <v>302.81649846280141</v>
      </c>
      <c r="L12" s="670"/>
      <c r="M12" s="377" t="s">
        <v>90</v>
      </c>
      <c r="N12" s="335"/>
      <c r="O12" s="335"/>
      <c r="P12" s="335"/>
      <c r="Q12" s="335"/>
      <c r="R12" s="335"/>
      <c r="S12" s="335"/>
      <c r="T12" s="335"/>
      <c r="U12" s="335"/>
      <c r="V12" s="335"/>
      <c r="W12" s="335"/>
      <c r="X12" s="335"/>
      <c r="Y12" s="335"/>
      <c r="Z12" s="335"/>
      <c r="AA12" s="335"/>
      <c r="AB12" s="335"/>
      <c r="AC12" s="335"/>
      <c r="AD12" s="335"/>
      <c r="AE12" s="335"/>
      <c r="AF12" s="335"/>
      <c r="AG12" s="335"/>
      <c r="AH12" s="335"/>
      <c r="AI12" s="335"/>
      <c r="AJ12" s="335"/>
      <c r="AK12" s="335"/>
      <c r="AL12" s="335"/>
      <c r="AM12" s="335"/>
      <c r="AN12" s="335"/>
    </row>
    <row r="13" spans="1:40" ht="16.5">
      <c r="A13" s="694" t="s">
        <v>335</v>
      </c>
      <c r="B13" s="673"/>
      <c r="C13" s="673"/>
      <c r="D13" s="673"/>
      <c r="E13" s="672">
        <f>F11/F12</f>
        <v>1</v>
      </c>
      <c r="F13" s="673"/>
      <c r="G13" s="335"/>
      <c r="H13" s="335"/>
      <c r="I13" s="335"/>
      <c r="J13" s="382" t="s">
        <v>334</v>
      </c>
      <c r="K13" s="675">
        <f>15*F6</f>
        <v>120</v>
      </c>
      <c r="L13" s="670"/>
      <c r="M13" s="381" t="s">
        <v>90</v>
      </c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335"/>
      <c r="AN13" s="335"/>
    </row>
    <row r="14" spans="1:40">
      <c r="A14" s="674"/>
      <c r="B14" s="674"/>
      <c r="C14" s="674"/>
      <c r="D14" s="674"/>
      <c r="E14" s="674"/>
      <c r="F14" s="674"/>
      <c r="G14" s="335"/>
      <c r="H14" s="335"/>
      <c r="I14" s="335"/>
      <c r="J14" s="335"/>
      <c r="K14" s="675">
        <v>200</v>
      </c>
      <c r="L14" s="670"/>
      <c r="M14" s="381" t="s">
        <v>90</v>
      </c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E14" s="335"/>
      <c r="AF14" s="335"/>
      <c r="AG14" s="335"/>
      <c r="AH14" s="335"/>
      <c r="AI14" s="335"/>
      <c r="AJ14" s="335"/>
      <c r="AK14" s="335"/>
      <c r="AL14" s="335"/>
      <c r="AM14" s="335"/>
      <c r="AN14" s="335"/>
    </row>
    <row r="15" spans="1:40" ht="16.5">
      <c r="A15" s="676" t="s">
        <v>333</v>
      </c>
      <c r="B15" s="677"/>
      <c r="C15" s="677"/>
      <c r="D15" s="677"/>
      <c r="E15" s="677"/>
      <c r="F15" s="677"/>
      <c r="G15" s="678"/>
      <c r="H15" s="335"/>
      <c r="I15" s="679" t="s">
        <v>332</v>
      </c>
      <c r="J15" s="670"/>
      <c r="K15" s="675">
        <f>0.3*K5</f>
        <v>90.844949538840424</v>
      </c>
      <c r="L15" s="670"/>
      <c r="M15" s="381" t="s">
        <v>90</v>
      </c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E15" s="335"/>
      <c r="AF15" s="335"/>
      <c r="AG15" s="335"/>
      <c r="AH15" s="335"/>
      <c r="AI15" s="335"/>
      <c r="AJ15" s="335"/>
      <c r="AK15" s="335"/>
      <c r="AL15" s="335"/>
      <c r="AM15" s="335"/>
      <c r="AN15" s="335"/>
    </row>
    <row r="16" spans="1:40" ht="16.5">
      <c r="A16" s="684" t="s">
        <v>331</v>
      </c>
      <c r="B16" s="677"/>
      <c r="C16" s="677"/>
      <c r="D16" s="677"/>
      <c r="E16" s="678"/>
      <c r="F16" s="685">
        <v>1.2</v>
      </c>
      <c r="G16" s="678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335"/>
      <c r="AN16" s="335"/>
    </row>
    <row r="17" spans="1:52">
      <c r="A17" s="335"/>
      <c r="B17" s="335"/>
      <c r="C17" s="335"/>
      <c r="D17" s="335"/>
      <c r="E17" s="335"/>
      <c r="F17" s="335"/>
      <c r="G17" s="335"/>
      <c r="H17" s="335"/>
      <c r="I17" s="669" t="s">
        <v>330</v>
      </c>
      <c r="J17" s="670"/>
      <c r="K17" s="670"/>
      <c r="L17" s="670"/>
      <c r="M17" s="670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335"/>
      <c r="AJ17" s="335"/>
      <c r="AK17" s="335"/>
      <c r="AL17" s="335"/>
      <c r="AM17" s="335"/>
      <c r="AN17" s="335"/>
    </row>
    <row r="18" spans="1:52" ht="15.75">
      <c r="A18" s="335"/>
      <c r="B18" s="335"/>
      <c r="C18" s="335"/>
      <c r="D18" s="335"/>
      <c r="E18" s="335"/>
      <c r="F18" s="335"/>
      <c r="G18" s="335"/>
      <c r="H18" s="335"/>
      <c r="I18" s="335"/>
      <c r="J18" s="686" t="str">
        <f>ROUND(MAX(K12:L15),1)&amp;" мм"</f>
        <v>302,8 мм</v>
      </c>
      <c r="K18" s="677"/>
      <c r="L18" s="678"/>
      <c r="M18" s="335"/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  <c r="AA18" s="335"/>
      <c r="AB18" s="335"/>
      <c r="AC18" s="335"/>
      <c r="AD18" s="335"/>
      <c r="AE18" s="335"/>
      <c r="AF18" s="335"/>
      <c r="AG18" s="335"/>
      <c r="AH18" s="335"/>
      <c r="AI18" s="335"/>
      <c r="AJ18" s="335"/>
      <c r="AK18" s="335"/>
      <c r="AL18" s="335"/>
      <c r="AM18" s="335"/>
      <c r="AN18" s="335"/>
    </row>
    <row r="19" spans="1:52">
      <c r="A19" s="335"/>
      <c r="B19" s="335"/>
      <c r="C19" s="335"/>
      <c r="D19" s="335"/>
      <c r="E19" s="335"/>
      <c r="F19" s="335"/>
      <c r="G19" s="335"/>
      <c r="H19" s="335"/>
      <c r="I19" s="335"/>
      <c r="J19" s="335"/>
      <c r="K19" s="335"/>
      <c r="L19" s="335"/>
      <c r="M19" s="335"/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  <c r="AA19" s="335"/>
      <c r="AB19" s="335"/>
      <c r="AC19" s="335"/>
      <c r="AD19" s="335"/>
      <c r="AE19" s="335"/>
      <c r="AF19" s="335"/>
      <c r="AG19" s="335"/>
      <c r="AH19" s="335"/>
      <c r="AI19" s="335"/>
      <c r="AJ19" s="335"/>
      <c r="AK19" s="335"/>
      <c r="AL19" s="335"/>
      <c r="AM19" s="335"/>
      <c r="AN19" s="335"/>
    </row>
    <row r="20" spans="1:52">
      <c r="A20" s="335"/>
      <c r="B20" s="335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335"/>
      <c r="AB20" s="335"/>
      <c r="AC20" s="335"/>
      <c r="AD20" s="335"/>
      <c r="AE20" s="335"/>
      <c r="AF20" s="335"/>
      <c r="AG20" s="335"/>
      <c r="AH20" s="335"/>
      <c r="AI20" s="335"/>
      <c r="AJ20" s="335"/>
      <c r="AK20" s="335"/>
      <c r="AL20" s="335"/>
      <c r="AM20" s="335"/>
      <c r="AN20" s="335"/>
    </row>
    <row r="21" spans="1:52" ht="15.75" customHeight="1">
      <c r="A21" s="335"/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335"/>
      <c r="AN21" s="335"/>
      <c r="AO21" s="335"/>
      <c r="AP21" s="335"/>
      <c r="AQ21" s="335"/>
      <c r="AR21" s="335"/>
      <c r="AS21" s="335"/>
      <c r="AT21" s="335"/>
      <c r="AU21" s="335"/>
      <c r="AV21" s="335"/>
      <c r="AW21" s="335"/>
      <c r="AX21" s="335"/>
      <c r="AY21" s="335"/>
      <c r="AZ21" s="335"/>
    </row>
    <row r="22" spans="1:52" ht="15.75" customHeight="1">
      <c r="A22" s="335"/>
      <c r="B22" s="335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  <c r="AJ22" s="335"/>
      <c r="AK22" s="335"/>
      <c r="AL22" s="335"/>
      <c r="AM22" s="335"/>
      <c r="AN22" s="335"/>
      <c r="AO22" s="335"/>
      <c r="AP22" s="335"/>
      <c r="AQ22" s="335"/>
      <c r="AR22" s="335"/>
      <c r="AS22" s="335"/>
      <c r="AT22" s="335"/>
      <c r="AU22" s="335"/>
      <c r="AV22" s="335"/>
      <c r="AW22" s="335"/>
      <c r="AX22" s="335"/>
      <c r="AY22" s="335"/>
      <c r="AZ22" s="335"/>
    </row>
    <row r="23" spans="1:52" ht="15.75" customHeight="1">
      <c r="A23" s="335"/>
      <c r="B23" s="335"/>
      <c r="C23" s="335"/>
      <c r="D23" s="335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5"/>
      <c r="W23" s="335"/>
      <c r="X23" s="335"/>
      <c r="Y23" s="335"/>
      <c r="Z23" s="335"/>
      <c r="AA23" s="335"/>
      <c r="AB23" s="335"/>
      <c r="AC23" s="335"/>
      <c r="AD23" s="335"/>
      <c r="AE23" s="335"/>
      <c r="AF23" s="335"/>
      <c r="AG23" s="335"/>
      <c r="AH23" s="335"/>
      <c r="AI23" s="335"/>
      <c r="AJ23" s="335"/>
      <c r="AK23" s="335"/>
      <c r="AL23" s="335"/>
      <c r="AM23" s="335"/>
      <c r="AN23" s="335"/>
      <c r="AO23" s="335"/>
      <c r="AP23" s="335"/>
      <c r="AQ23" s="335"/>
      <c r="AR23" s="335"/>
      <c r="AS23" s="335"/>
      <c r="AT23" s="335"/>
      <c r="AU23" s="335"/>
      <c r="AV23" s="335"/>
      <c r="AW23" s="335"/>
      <c r="AX23" s="335"/>
      <c r="AY23" s="335"/>
      <c r="AZ23" s="335"/>
    </row>
    <row r="24" spans="1:52" ht="15.75" hidden="1" customHeight="1">
      <c r="A24" s="335"/>
      <c r="B24" s="335"/>
      <c r="C24" s="335"/>
      <c r="D24" s="335"/>
      <c r="E24" s="335"/>
      <c r="F24" s="335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  <c r="AJ24" s="335"/>
      <c r="AK24" s="335"/>
      <c r="AL24" s="335"/>
      <c r="AM24" s="335"/>
      <c r="AN24" s="335"/>
      <c r="AO24" s="335"/>
      <c r="AP24" s="335"/>
      <c r="AQ24" s="335"/>
      <c r="AR24" s="335"/>
      <c r="AS24" s="335"/>
      <c r="AT24" s="335"/>
      <c r="AU24" s="335"/>
      <c r="AV24" s="335"/>
      <c r="AW24" s="335"/>
      <c r="AX24" s="335"/>
      <c r="AY24" s="335"/>
      <c r="AZ24" s="335"/>
    </row>
    <row r="25" spans="1:52" ht="15.75" hidden="1" customHeight="1">
      <c r="A25" s="335"/>
      <c r="B25" s="335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335"/>
      <c r="AL25" s="335"/>
      <c r="AM25" s="335"/>
      <c r="AN25" s="335"/>
      <c r="AO25" s="335"/>
      <c r="AP25" s="335"/>
      <c r="AQ25" s="335"/>
      <c r="AR25" s="335"/>
      <c r="AS25" s="335"/>
      <c r="AT25" s="335"/>
      <c r="AU25" s="335"/>
      <c r="AV25" s="335"/>
      <c r="AW25" s="335"/>
      <c r="AX25" s="335"/>
      <c r="AY25" s="335"/>
      <c r="AZ25" s="335"/>
    </row>
    <row r="26" spans="1:52" ht="15.75" hidden="1" customHeight="1">
      <c r="A26" s="335"/>
      <c r="B26" s="335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335"/>
      <c r="AN26" s="335"/>
      <c r="AO26" s="335"/>
      <c r="AP26" s="335"/>
      <c r="AQ26" s="335"/>
      <c r="AR26" s="335"/>
      <c r="AS26" s="335"/>
      <c r="AT26" s="335"/>
      <c r="AU26" s="335"/>
      <c r="AV26" s="335"/>
      <c r="AW26" s="335"/>
      <c r="AX26" s="335"/>
      <c r="AY26" s="335"/>
      <c r="AZ26" s="335"/>
    </row>
    <row r="27" spans="1:52" ht="15.75" hidden="1" customHeight="1">
      <c r="A27" s="335"/>
      <c r="B27" s="335"/>
      <c r="C27" s="335"/>
      <c r="D27" s="335"/>
      <c r="E27" s="335"/>
      <c r="F27" s="335"/>
      <c r="G27" s="335"/>
      <c r="H27" s="335"/>
      <c r="I27" s="335"/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  <c r="AA27" s="335"/>
      <c r="AB27" s="335"/>
      <c r="AC27" s="335"/>
      <c r="AD27" s="335"/>
      <c r="AE27" s="335"/>
      <c r="AF27" s="335"/>
      <c r="AG27" s="335"/>
      <c r="AH27" s="335"/>
      <c r="AI27" s="335"/>
      <c r="AJ27" s="335"/>
      <c r="AK27" s="335"/>
      <c r="AL27" s="335"/>
      <c r="AM27" s="335"/>
      <c r="AN27" s="335"/>
      <c r="AO27" s="335"/>
      <c r="AP27" s="335"/>
      <c r="AQ27" s="335"/>
      <c r="AR27" s="335"/>
      <c r="AS27" s="335"/>
      <c r="AT27" s="335"/>
      <c r="AU27" s="335"/>
      <c r="AV27" s="335"/>
      <c r="AW27" s="335"/>
      <c r="AX27" s="335"/>
      <c r="AY27" s="335"/>
      <c r="AZ27" s="335"/>
    </row>
    <row r="28" spans="1:52" ht="15.75" hidden="1" customHeight="1">
      <c r="A28" s="335"/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  <c r="AA28" s="335"/>
      <c r="AB28" s="335"/>
      <c r="AC28" s="335"/>
      <c r="AD28" s="379" t="s">
        <v>329</v>
      </c>
      <c r="AE28" s="378">
        <v>210</v>
      </c>
      <c r="AF28" s="335"/>
      <c r="AG28" s="379" t="s">
        <v>328</v>
      </c>
      <c r="AH28" s="379" t="s">
        <v>327</v>
      </c>
      <c r="AI28" s="379" t="s">
        <v>326</v>
      </c>
      <c r="AJ28" s="379" t="s">
        <v>325</v>
      </c>
      <c r="AK28" s="379" t="s">
        <v>324</v>
      </c>
      <c r="AL28" s="379" t="s">
        <v>323</v>
      </c>
      <c r="AM28" s="379" t="s">
        <v>322</v>
      </c>
      <c r="AN28" s="379" t="s">
        <v>77</v>
      </c>
      <c r="AO28" s="379" t="s">
        <v>78</v>
      </c>
      <c r="AP28" s="379" t="s">
        <v>79</v>
      </c>
      <c r="AQ28" s="379" t="s">
        <v>80</v>
      </c>
      <c r="AR28" s="335"/>
      <c r="AS28" s="335"/>
      <c r="AT28" s="335"/>
      <c r="AU28" s="335"/>
      <c r="AV28" s="335"/>
      <c r="AW28" s="335"/>
      <c r="AX28" s="335"/>
      <c r="AY28" s="335"/>
      <c r="AZ28" s="335"/>
    </row>
    <row r="29" spans="1:52" ht="15.75" hidden="1" customHeight="1">
      <c r="A29" s="335"/>
      <c r="B29" s="335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  <c r="AA29" s="335"/>
      <c r="AB29" s="335"/>
      <c r="AC29" s="335"/>
      <c r="AD29" s="379" t="s">
        <v>321</v>
      </c>
      <c r="AE29" s="378">
        <v>350</v>
      </c>
      <c r="AF29" s="335"/>
      <c r="AG29" s="379">
        <v>0.26</v>
      </c>
      <c r="AH29" s="379">
        <v>0.37</v>
      </c>
      <c r="AI29" s="379">
        <v>0.48</v>
      </c>
      <c r="AJ29" s="379">
        <v>0.56000000000000005</v>
      </c>
      <c r="AK29" s="379">
        <v>0.66</v>
      </c>
      <c r="AL29" s="379">
        <v>0.75</v>
      </c>
      <c r="AM29" s="379">
        <v>0.9</v>
      </c>
      <c r="AN29" s="379">
        <v>1.05</v>
      </c>
      <c r="AO29" s="379">
        <v>1.1499999999999999</v>
      </c>
      <c r="AP29" s="379">
        <v>1.3</v>
      </c>
      <c r="AQ29" s="379">
        <v>1.4</v>
      </c>
      <c r="AR29" s="335"/>
      <c r="AS29" s="335"/>
      <c r="AT29" s="335"/>
      <c r="AU29" s="335"/>
      <c r="AV29" s="335"/>
      <c r="AW29" s="335"/>
      <c r="AX29" s="335"/>
      <c r="AY29" s="335"/>
      <c r="AZ29" s="335"/>
    </row>
    <row r="30" spans="1:52" ht="15.75" hidden="1" customHeight="1">
      <c r="A30" s="335"/>
      <c r="B30" s="335"/>
      <c r="C30" s="335"/>
      <c r="D30" s="335"/>
      <c r="E30" s="335"/>
      <c r="F30" s="335"/>
      <c r="G30" s="335"/>
      <c r="H30" s="335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  <c r="AA30" s="335"/>
      <c r="AB30" s="335"/>
      <c r="AC30" s="335"/>
      <c r="AD30" s="379" t="s">
        <v>211</v>
      </c>
      <c r="AE30" s="378">
        <v>435</v>
      </c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5"/>
      <c r="AU30" s="335"/>
      <c r="AV30" s="335"/>
      <c r="AW30" s="335"/>
      <c r="AX30" s="335"/>
      <c r="AY30" s="335"/>
      <c r="AZ30" s="335"/>
    </row>
    <row r="31" spans="1:52" ht="15.75" hidden="1" customHeight="1">
      <c r="A31" s="335"/>
      <c r="B31" s="335"/>
      <c r="C31" s="335"/>
      <c r="D31" s="335"/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  <c r="AA31" s="335"/>
      <c r="AB31" s="335"/>
      <c r="AC31" s="335"/>
      <c r="AD31" s="379" t="s">
        <v>320</v>
      </c>
      <c r="AE31" s="378">
        <v>520</v>
      </c>
      <c r="AF31" s="335"/>
      <c r="AG31" s="378">
        <v>1.5</v>
      </c>
      <c r="AH31" s="335"/>
      <c r="AI31" s="378">
        <v>1</v>
      </c>
      <c r="AJ31" s="335"/>
      <c r="AK31" s="378">
        <v>1</v>
      </c>
      <c r="AL31" s="335"/>
      <c r="AM31" s="335">
        <v>1.2</v>
      </c>
      <c r="AN31" s="335"/>
      <c r="AO31" s="335"/>
      <c r="AP31" s="335"/>
      <c r="AQ31" s="335"/>
      <c r="AR31" s="335"/>
      <c r="AS31" s="335"/>
      <c r="AT31" s="335"/>
      <c r="AU31" s="335"/>
      <c r="AV31" s="335"/>
      <c r="AW31" s="335"/>
      <c r="AX31" s="335"/>
      <c r="AY31" s="335"/>
      <c r="AZ31" s="335"/>
    </row>
    <row r="32" spans="1:52" ht="15.75" hidden="1" customHeight="1">
      <c r="A32" s="335"/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79" t="s">
        <v>319</v>
      </c>
      <c r="AE32" s="378">
        <v>695</v>
      </c>
      <c r="AF32" s="335"/>
      <c r="AG32" s="378">
        <v>2</v>
      </c>
      <c r="AH32" s="335"/>
      <c r="AI32" s="378">
        <v>0.9</v>
      </c>
      <c r="AJ32" s="335"/>
      <c r="AK32" s="378">
        <v>0.75</v>
      </c>
      <c r="AL32" s="335"/>
      <c r="AM32" s="335">
        <v>0.9</v>
      </c>
      <c r="AN32" s="335"/>
      <c r="AO32" s="335"/>
      <c r="AP32" s="335"/>
      <c r="AQ32" s="335"/>
      <c r="AR32" s="335"/>
      <c r="AS32" s="335"/>
      <c r="AT32" s="335"/>
      <c r="AU32" s="335"/>
      <c r="AV32" s="335"/>
      <c r="AW32" s="335"/>
      <c r="AX32" s="335"/>
      <c r="AY32" s="335"/>
      <c r="AZ32" s="335"/>
    </row>
    <row r="33" spans="1:52" ht="15.75" hidden="1" customHeight="1">
      <c r="A33" s="335"/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79" t="s">
        <v>318</v>
      </c>
      <c r="AE33" s="378">
        <v>870</v>
      </c>
      <c r="AF33" s="335"/>
      <c r="AG33" s="378">
        <v>2.5</v>
      </c>
      <c r="AH33" s="335"/>
      <c r="AI33" s="335"/>
      <c r="AJ33" s="335"/>
      <c r="AK33" s="335"/>
      <c r="AL33" s="335"/>
      <c r="AM33" s="335"/>
      <c r="AN33" s="335"/>
      <c r="AO33" s="335"/>
      <c r="AP33" s="335"/>
      <c r="AQ33" s="335"/>
      <c r="AR33" s="335"/>
      <c r="AS33" s="335"/>
      <c r="AT33" s="335"/>
      <c r="AU33" s="335"/>
      <c r="AV33" s="335"/>
      <c r="AW33" s="335"/>
      <c r="AX33" s="335"/>
      <c r="AY33" s="335"/>
      <c r="AZ33" s="335"/>
    </row>
    <row r="34" spans="1:52" ht="15.75" hidden="1" customHeight="1">
      <c r="A34" s="335"/>
      <c r="B34" s="335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77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35"/>
      <c r="AX34" s="335"/>
      <c r="AY34" s="335"/>
      <c r="AZ34" s="335"/>
    </row>
    <row r="35" spans="1:52" ht="15.75" hidden="1" customHeight="1">
      <c r="A35" s="335"/>
      <c r="B35" s="335"/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  <c r="AA35" s="335"/>
      <c r="AB35" s="335"/>
      <c r="AC35" s="335"/>
      <c r="AD35" s="687" t="s">
        <v>315</v>
      </c>
      <c r="AE35" s="691" t="s">
        <v>317</v>
      </c>
      <c r="AF35" s="692"/>
      <c r="AG35" s="692"/>
      <c r="AH35" s="692"/>
      <c r="AI35" s="692"/>
      <c r="AJ35" s="692"/>
      <c r="AK35" s="692"/>
      <c r="AL35" s="692"/>
      <c r="AM35" s="692"/>
      <c r="AN35" s="692"/>
      <c r="AO35" s="692"/>
      <c r="AP35" s="692"/>
      <c r="AQ35" s="692"/>
      <c r="AR35" s="692"/>
      <c r="AS35" s="692"/>
      <c r="AT35" s="692"/>
      <c r="AU35" s="692"/>
      <c r="AV35" s="692"/>
      <c r="AW35" s="692"/>
      <c r="AX35" s="693"/>
      <c r="AY35" s="687" t="s">
        <v>316</v>
      </c>
      <c r="AZ35" s="687" t="s">
        <v>315</v>
      </c>
    </row>
    <row r="36" spans="1:52" ht="15.75" hidden="1" customHeight="1">
      <c r="A36" s="335"/>
      <c r="B36" s="335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688"/>
      <c r="AE36" s="376">
        <v>1</v>
      </c>
      <c r="AF36" s="375">
        <v>2</v>
      </c>
      <c r="AG36" s="375">
        <v>3</v>
      </c>
      <c r="AH36" s="375">
        <v>4</v>
      </c>
      <c r="AI36" s="375">
        <v>5</v>
      </c>
      <c r="AJ36" s="375">
        <v>6</v>
      </c>
      <c r="AK36" s="375">
        <v>7</v>
      </c>
      <c r="AL36" s="375">
        <v>8</v>
      </c>
      <c r="AM36" s="375">
        <v>9</v>
      </c>
      <c r="AN36" s="375">
        <v>10</v>
      </c>
      <c r="AO36" s="375">
        <v>11</v>
      </c>
      <c r="AP36" s="375">
        <v>12</v>
      </c>
      <c r="AQ36" s="375">
        <v>13</v>
      </c>
      <c r="AR36" s="375">
        <v>14</v>
      </c>
      <c r="AS36" s="375">
        <v>15</v>
      </c>
      <c r="AT36" s="375">
        <v>16</v>
      </c>
      <c r="AU36" s="375">
        <v>17</v>
      </c>
      <c r="AV36" s="375">
        <v>18</v>
      </c>
      <c r="AW36" s="375">
        <v>19</v>
      </c>
      <c r="AX36" s="374">
        <v>20</v>
      </c>
      <c r="AY36" s="688"/>
      <c r="AZ36" s="688"/>
    </row>
    <row r="37" spans="1:52" ht="15.75" hidden="1" customHeight="1">
      <c r="A37" s="335"/>
      <c r="B37" s="335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66">
        <v>3</v>
      </c>
      <c r="AE37" s="373">
        <v>7.0999999999999994E-2</v>
      </c>
      <c r="AF37" s="372">
        <f t="shared" ref="AF37:AO46" si="0">$AE37*AF$36</f>
        <v>0.14199999999999999</v>
      </c>
      <c r="AG37" s="372">
        <f t="shared" si="0"/>
        <v>0.21299999999999997</v>
      </c>
      <c r="AH37" s="372">
        <f t="shared" si="0"/>
        <v>0.28399999999999997</v>
      </c>
      <c r="AI37" s="372">
        <f t="shared" si="0"/>
        <v>0.35499999999999998</v>
      </c>
      <c r="AJ37" s="372">
        <f t="shared" si="0"/>
        <v>0.42599999999999993</v>
      </c>
      <c r="AK37" s="372">
        <f t="shared" si="0"/>
        <v>0.49699999999999994</v>
      </c>
      <c r="AL37" s="372">
        <f t="shared" si="0"/>
        <v>0.56799999999999995</v>
      </c>
      <c r="AM37" s="372">
        <f t="shared" si="0"/>
        <v>0.6389999999999999</v>
      </c>
      <c r="AN37" s="372">
        <f t="shared" si="0"/>
        <v>0.71</v>
      </c>
      <c r="AO37" s="372">
        <f t="shared" si="0"/>
        <v>0.78099999999999992</v>
      </c>
      <c r="AP37" s="372">
        <f t="shared" ref="AP37:AX46" si="1">$AE37*AP$36</f>
        <v>0.85199999999999987</v>
      </c>
      <c r="AQ37" s="372">
        <f t="shared" si="1"/>
        <v>0.92299999999999993</v>
      </c>
      <c r="AR37" s="372">
        <f t="shared" si="1"/>
        <v>0.99399999999999988</v>
      </c>
      <c r="AS37" s="372">
        <f t="shared" si="1"/>
        <v>1.0649999999999999</v>
      </c>
      <c r="AT37" s="372">
        <f t="shared" si="1"/>
        <v>1.1359999999999999</v>
      </c>
      <c r="AU37" s="372">
        <f t="shared" si="1"/>
        <v>1.2069999999999999</v>
      </c>
      <c r="AV37" s="372">
        <f t="shared" si="1"/>
        <v>1.2779999999999998</v>
      </c>
      <c r="AW37" s="372">
        <f t="shared" si="1"/>
        <v>1.349</v>
      </c>
      <c r="AX37" s="371">
        <f t="shared" si="1"/>
        <v>1.42</v>
      </c>
      <c r="AY37" s="367">
        <f t="shared" ref="AY37:AY61" si="2">((PI()*((AD37/1000)^2))/4)*7850</f>
        <v>5.5488380244029717E-2</v>
      </c>
      <c r="AZ37" s="366">
        <v>3</v>
      </c>
    </row>
    <row r="38" spans="1:52" ht="15.75" hidden="1" customHeight="1">
      <c r="A38" s="335"/>
      <c r="B38" s="335"/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66">
        <v>4</v>
      </c>
      <c r="AE38" s="370">
        <v>0.126</v>
      </c>
      <c r="AF38" s="369">
        <f t="shared" si="0"/>
        <v>0.252</v>
      </c>
      <c r="AG38" s="369">
        <f t="shared" si="0"/>
        <v>0.378</v>
      </c>
      <c r="AH38" s="369">
        <f t="shared" si="0"/>
        <v>0.504</v>
      </c>
      <c r="AI38" s="369">
        <f t="shared" si="0"/>
        <v>0.63</v>
      </c>
      <c r="AJ38" s="369">
        <f t="shared" si="0"/>
        <v>0.75600000000000001</v>
      </c>
      <c r="AK38" s="369">
        <f t="shared" si="0"/>
        <v>0.88200000000000001</v>
      </c>
      <c r="AL38" s="369">
        <f t="shared" si="0"/>
        <v>1.008</v>
      </c>
      <c r="AM38" s="369">
        <f t="shared" si="0"/>
        <v>1.1339999999999999</v>
      </c>
      <c r="AN38" s="369">
        <f t="shared" si="0"/>
        <v>1.26</v>
      </c>
      <c r="AO38" s="369">
        <f t="shared" si="0"/>
        <v>1.3860000000000001</v>
      </c>
      <c r="AP38" s="369">
        <f t="shared" si="1"/>
        <v>1.512</v>
      </c>
      <c r="AQ38" s="369">
        <f t="shared" si="1"/>
        <v>1.6379999999999999</v>
      </c>
      <c r="AR38" s="369">
        <f t="shared" si="1"/>
        <v>1.764</v>
      </c>
      <c r="AS38" s="369">
        <f t="shared" si="1"/>
        <v>1.8900000000000001</v>
      </c>
      <c r="AT38" s="369">
        <f t="shared" si="1"/>
        <v>2.016</v>
      </c>
      <c r="AU38" s="369">
        <f t="shared" si="1"/>
        <v>2.1419999999999999</v>
      </c>
      <c r="AV38" s="369">
        <f t="shared" si="1"/>
        <v>2.2679999999999998</v>
      </c>
      <c r="AW38" s="369">
        <f t="shared" si="1"/>
        <v>2.3940000000000001</v>
      </c>
      <c r="AX38" s="368">
        <f t="shared" si="1"/>
        <v>2.52</v>
      </c>
      <c r="AY38" s="367">
        <f t="shared" si="2"/>
        <v>9.8646009322719497E-2</v>
      </c>
      <c r="AZ38" s="366">
        <v>4</v>
      </c>
    </row>
    <row r="39" spans="1:52" ht="15.75" hidden="1" customHeight="1">
      <c r="A39" s="335"/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66">
        <v>5</v>
      </c>
      <c r="AE39" s="370">
        <v>0.19600000000000001</v>
      </c>
      <c r="AF39" s="369">
        <f t="shared" si="0"/>
        <v>0.39200000000000002</v>
      </c>
      <c r="AG39" s="369">
        <f t="shared" si="0"/>
        <v>0.58800000000000008</v>
      </c>
      <c r="AH39" s="369">
        <f t="shared" si="0"/>
        <v>0.78400000000000003</v>
      </c>
      <c r="AI39" s="369">
        <f t="shared" si="0"/>
        <v>0.98</v>
      </c>
      <c r="AJ39" s="369">
        <f t="shared" si="0"/>
        <v>1.1760000000000002</v>
      </c>
      <c r="AK39" s="369">
        <f t="shared" si="0"/>
        <v>1.3720000000000001</v>
      </c>
      <c r="AL39" s="369">
        <f t="shared" si="0"/>
        <v>1.5680000000000001</v>
      </c>
      <c r="AM39" s="369">
        <f t="shared" si="0"/>
        <v>1.764</v>
      </c>
      <c r="AN39" s="369">
        <f t="shared" si="0"/>
        <v>1.96</v>
      </c>
      <c r="AO39" s="369">
        <f t="shared" si="0"/>
        <v>2.1560000000000001</v>
      </c>
      <c r="AP39" s="369">
        <f t="shared" si="1"/>
        <v>2.3520000000000003</v>
      </c>
      <c r="AQ39" s="369">
        <f t="shared" si="1"/>
        <v>2.548</v>
      </c>
      <c r="AR39" s="369">
        <f t="shared" si="1"/>
        <v>2.7440000000000002</v>
      </c>
      <c r="AS39" s="369">
        <f t="shared" si="1"/>
        <v>2.94</v>
      </c>
      <c r="AT39" s="369">
        <f t="shared" si="1"/>
        <v>3.1360000000000001</v>
      </c>
      <c r="AU39" s="369">
        <f t="shared" si="1"/>
        <v>3.3320000000000003</v>
      </c>
      <c r="AV39" s="369">
        <f t="shared" si="1"/>
        <v>3.528</v>
      </c>
      <c r="AW39" s="369">
        <f t="shared" si="1"/>
        <v>3.7240000000000002</v>
      </c>
      <c r="AX39" s="368">
        <f t="shared" si="1"/>
        <v>3.92</v>
      </c>
      <c r="AY39" s="367">
        <f t="shared" si="2"/>
        <v>0.15413438956674921</v>
      </c>
      <c r="AZ39" s="366">
        <v>5</v>
      </c>
    </row>
    <row r="40" spans="1:52" ht="15.75" hidden="1" customHeight="1">
      <c r="A40" s="335"/>
      <c r="B40" s="335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66">
        <v>6</v>
      </c>
      <c r="AE40" s="370">
        <v>0.28299999999999997</v>
      </c>
      <c r="AF40" s="369">
        <f t="shared" si="0"/>
        <v>0.56599999999999995</v>
      </c>
      <c r="AG40" s="369">
        <f t="shared" si="0"/>
        <v>0.84899999999999998</v>
      </c>
      <c r="AH40" s="369">
        <f t="shared" si="0"/>
        <v>1.1319999999999999</v>
      </c>
      <c r="AI40" s="369">
        <f t="shared" si="0"/>
        <v>1.4149999999999998</v>
      </c>
      <c r="AJ40" s="369">
        <f t="shared" si="0"/>
        <v>1.698</v>
      </c>
      <c r="AK40" s="369">
        <f t="shared" si="0"/>
        <v>1.9809999999999999</v>
      </c>
      <c r="AL40" s="369">
        <f t="shared" si="0"/>
        <v>2.2639999999999998</v>
      </c>
      <c r="AM40" s="369">
        <f t="shared" si="0"/>
        <v>2.5469999999999997</v>
      </c>
      <c r="AN40" s="369">
        <f t="shared" si="0"/>
        <v>2.8299999999999996</v>
      </c>
      <c r="AO40" s="369">
        <f t="shared" si="0"/>
        <v>3.1129999999999995</v>
      </c>
      <c r="AP40" s="369">
        <f t="shared" si="1"/>
        <v>3.3959999999999999</v>
      </c>
      <c r="AQ40" s="369">
        <f t="shared" si="1"/>
        <v>3.6789999999999998</v>
      </c>
      <c r="AR40" s="369">
        <f t="shared" si="1"/>
        <v>3.9619999999999997</v>
      </c>
      <c r="AS40" s="369">
        <f t="shared" si="1"/>
        <v>4.2449999999999992</v>
      </c>
      <c r="AT40" s="369">
        <f t="shared" si="1"/>
        <v>4.5279999999999996</v>
      </c>
      <c r="AU40" s="369">
        <f t="shared" si="1"/>
        <v>4.8109999999999999</v>
      </c>
      <c r="AV40" s="369">
        <f t="shared" si="1"/>
        <v>5.0939999999999994</v>
      </c>
      <c r="AW40" s="369">
        <f t="shared" si="1"/>
        <v>5.3769999999999998</v>
      </c>
      <c r="AX40" s="368">
        <f t="shared" si="1"/>
        <v>5.6599999999999993</v>
      </c>
      <c r="AY40" s="367">
        <f t="shared" si="2"/>
        <v>0.22195352097611887</v>
      </c>
      <c r="AZ40" s="366">
        <v>6</v>
      </c>
    </row>
    <row r="41" spans="1:52" ht="15.75" hidden="1" customHeight="1">
      <c r="A41" s="335"/>
      <c r="B41" s="335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66">
        <v>7</v>
      </c>
      <c r="AE41" s="370">
        <v>0.38500000000000001</v>
      </c>
      <c r="AF41" s="369">
        <f t="shared" si="0"/>
        <v>0.77</v>
      </c>
      <c r="AG41" s="369">
        <f t="shared" si="0"/>
        <v>1.155</v>
      </c>
      <c r="AH41" s="369">
        <f t="shared" si="0"/>
        <v>1.54</v>
      </c>
      <c r="AI41" s="369">
        <f t="shared" si="0"/>
        <v>1.925</v>
      </c>
      <c r="AJ41" s="369">
        <f t="shared" si="0"/>
        <v>2.31</v>
      </c>
      <c r="AK41" s="369">
        <f t="shared" si="0"/>
        <v>2.6950000000000003</v>
      </c>
      <c r="AL41" s="369">
        <f t="shared" si="0"/>
        <v>3.08</v>
      </c>
      <c r="AM41" s="369">
        <f t="shared" si="0"/>
        <v>3.4649999999999999</v>
      </c>
      <c r="AN41" s="369">
        <f t="shared" si="0"/>
        <v>3.85</v>
      </c>
      <c r="AO41" s="369">
        <f t="shared" si="0"/>
        <v>4.2350000000000003</v>
      </c>
      <c r="AP41" s="369">
        <f t="shared" si="1"/>
        <v>4.62</v>
      </c>
      <c r="AQ41" s="369">
        <f t="shared" si="1"/>
        <v>5.0049999999999999</v>
      </c>
      <c r="AR41" s="369">
        <f t="shared" si="1"/>
        <v>5.3900000000000006</v>
      </c>
      <c r="AS41" s="369">
        <f t="shared" si="1"/>
        <v>5.7750000000000004</v>
      </c>
      <c r="AT41" s="369">
        <f t="shared" si="1"/>
        <v>6.16</v>
      </c>
      <c r="AU41" s="369">
        <f t="shared" si="1"/>
        <v>6.5449999999999999</v>
      </c>
      <c r="AV41" s="369">
        <f t="shared" si="1"/>
        <v>6.93</v>
      </c>
      <c r="AW41" s="369">
        <f t="shared" si="1"/>
        <v>7.3150000000000004</v>
      </c>
      <c r="AX41" s="368">
        <f t="shared" si="1"/>
        <v>7.7</v>
      </c>
      <c r="AY41" s="367">
        <f t="shared" si="2"/>
        <v>0.30210340355082854</v>
      </c>
      <c r="AZ41" s="366">
        <v>7</v>
      </c>
    </row>
    <row r="42" spans="1:52" ht="15.75" hidden="1" customHeight="1">
      <c r="A42" s="335"/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66">
        <v>8</v>
      </c>
      <c r="AE42" s="370">
        <v>0.503</v>
      </c>
      <c r="AF42" s="369">
        <f t="shared" si="0"/>
        <v>1.006</v>
      </c>
      <c r="AG42" s="369">
        <f t="shared" si="0"/>
        <v>1.5089999999999999</v>
      </c>
      <c r="AH42" s="369">
        <f t="shared" si="0"/>
        <v>2.012</v>
      </c>
      <c r="AI42" s="369">
        <f t="shared" si="0"/>
        <v>2.5150000000000001</v>
      </c>
      <c r="AJ42" s="369">
        <f t="shared" si="0"/>
        <v>3.0179999999999998</v>
      </c>
      <c r="AK42" s="369">
        <f t="shared" si="0"/>
        <v>3.5209999999999999</v>
      </c>
      <c r="AL42" s="369">
        <f t="shared" si="0"/>
        <v>4.024</v>
      </c>
      <c r="AM42" s="369">
        <f t="shared" si="0"/>
        <v>4.5270000000000001</v>
      </c>
      <c r="AN42" s="369">
        <f t="shared" si="0"/>
        <v>5.03</v>
      </c>
      <c r="AO42" s="369">
        <f t="shared" si="0"/>
        <v>5.5330000000000004</v>
      </c>
      <c r="AP42" s="369">
        <f t="shared" si="1"/>
        <v>6.0359999999999996</v>
      </c>
      <c r="AQ42" s="369">
        <f t="shared" si="1"/>
        <v>6.5389999999999997</v>
      </c>
      <c r="AR42" s="369">
        <f t="shared" si="1"/>
        <v>7.0419999999999998</v>
      </c>
      <c r="AS42" s="369">
        <f t="shared" si="1"/>
        <v>7.5449999999999999</v>
      </c>
      <c r="AT42" s="369">
        <f t="shared" si="1"/>
        <v>8.048</v>
      </c>
      <c r="AU42" s="369">
        <f t="shared" si="1"/>
        <v>8.5510000000000002</v>
      </c>
      <c r="AV42" s="369">
        <f t="shared" si="1"/>
        <v>9.0540000000000003</v>
      </c>
      <c r="AW42" s="369">
        <f t="shared" si="1"/>
        <v>9.5570000000000004</v>
      </c>
      <c r="AX42" s="368">
        <f t="shared" si="1"/>
        <v>10.06</v>
      </c>
      <c r="AY42" s="367">
        <f t="shared" si="2"/>
        <v>0.39458403729087799</v>
      </c>
      <c r="AZ42" s="366">
        <v>8</v>
      </c>
    </row>
    <row r="43" spans="1:52" ht="15.75" hidden="1" customHeight="1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66">
        <v>9</v>
      </c>
      <c r="AE43" s="370">
        <v>0.63600000000000001</v>
      </c>
      <c r="AF43" s="369">
        <f t="shared" si="0"/>
        <v>1.272</v>
      </c>
      <c r="AG43" s="369">
        <f t="shared" si="0"/>
        <v>1.9079999999999999</v>
      </c>
      <c r="AH43" s="369">
        <f t="shared" si="0"/>
        <v>2.544</v>
      </c>
      <c r="AI43" s="369">
        <f t="shared" si="0"/>
        <v>3.18</v>
      </c>
      <c r="AJ43" s="369">
        <f t="shared" si="0"/>
        <v>3.8159999999999998</v>
      </c>
      <c r="AK43" s="369">
        <f t="shared" si="0"/>
        <v>4.452</v>
      </c>
      <c r="AL43" s="369">
        <f t="shared" si="0"/>
        <v>5.0880000000000001</v>
      </c>
      <c r="AM43" s="369">
        <f t="shared" si="0"/>
        <v>5.7240000000000002</v>
      </c>
      <c r="AN43" s="369">
        <f t="shared" si="0"/>
        <v>6.36</v>
      </c>
      <c r="AO43" s="369">
        <f t="shared" si="0"/>
        <v>6.9960000000000004</v>
      </c>
      <c r="AP43" s="369">
        <f t="shared" si="1"/>
        <v>7.6319999999999997</v>
      </c>
      <c r="AQ43" s="369">
        <f t="shared" si="1"/>
        <v>8.2680000000000007</v>
      </c>
      <c r="AR43" s="369">
        <f t="shared" si="1"/>
        <v>8.9039999999999999</v>
      </c>
      <c r="AS43" s="369">
        <f t="shared" si="1"/>
        <v>9.5400000000000009</v>
      </c>
      <c r="AT43" s="369">
        <f t="shared" si="1"/>
        <v>10.176</v>
      </c>
      <c r="AU43" s="369">
        <f t="shared" si="1"/>
        <v>10.811999999999999</v>
      </c>
      <c r="AV43" s="369">
        <f t="shared" si="1"/>
        <v>11.448</v>
      </c>
      <c r="AW43" s="369">
        <f t="shared" si="1"/>
        <v>12.084</v>
      </c>
      <c r="AX43" s="368">
        <f t="shared" si="1"/>
        <v>12.72</v>
      </c>
      <c r="AY43" s="367">
        <f t="shared" si="2"/>
        <v>0.49939542219626742</v>
      </c>
      <c r="AZ43" s="366">
        <v>9</v>
      </c>
    </row>
    <row r="44" spans="1:52" ht="15.75" hidden="1" customHeight="1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66">
        <v>10</v>
      </c>
      <c r="AE44" s="370">
        <v>0.78500000000000003</v>
      </c>
      <c r="AF44" s="369">
        <f t="shared" si="0"/>
        <v>1.57</v>
      </c>
      <c r="AG44" s="369">
        <f t="shared" si="0"/>
        <v>2.355</v>
      </c>
      <c r="AH44" s="369">
        <f t="shared" si="0"/>
        <v>3.14</v>
      </c>
      <c r="AI44" s="369">
        <f t="shared" si="0"/>
        <v>3.9250000000000003</v>
      </c>
      <c r="AJ44" s="369">
        <f t="shared" si="0"/>
        <v>4.71</v>
      </c>
      <c r="AK44" s="369">
        <f t="shared" si="0"/>
        <v>5.4950000000000001</v>
      </c>
      <c r="AL44" s="369">
        <f t="shared" si="0"/>
        <v>6.28</v>
      </c>
      <c r="AM44" s="369">
        <f t="shared" si="0"/>
        <v>7.0650000000000004</v>
      </c>
      <c r="AN44" s="369">
        <f t="shared" si="0"/>
        <v>7.8500000000000005</v>
      </c>
      <c r="AO44" s="369">
        <f t="shared" si="0"/>
        <v>8.6349999999999998</v>
      </c>
      <c r="AP44" s="369">
        <f t="shared" si="1"/>
        <v>9.42</v>
      </c>
      <c r="AQ44" s="369">
        <f t="shared" si="1"/>
        <v>10.205</v>
      </c>
      <c r="AR44" s="369">
        <f t="shared" si="1"/>
        <v>10.99</v>
      </c>
      <c r="AS44" s="369">
        <f t="shared" si="1"/>
        <v>11.775</v>
      </c>
      <c r="AT44" s="369">
        <f t="shared" si="1"/>
        <v>12.56</v>
      </c>
      <c r="AU44" s="369">
        <f t="shared" si="1"/>
        <v>13.345000000000001</v>
      </c>
      <c r="AV44" s="369">
        <f t="shared" si="1"/>
        <v>14.13</v>
      </c>
      <c r="AW44" s="369">
        <f t="shared" si="1"/>
        <v>14.915000000000001</v>
      </c>
      <c r="AX44" s="368">
        <f t="shared" si="1"/>
        <v>15.700000000000001</v>
      </c>
      <c r="AY44" s="367">
        <f t="shared" si="2"/>
        <v>0.61653755826699685</v>
      </c>
      <c r="AZ44" s="366">
        <v>10</v>
      </c>
    </row>
    <row r="45" spans="1:52" ht="15.75" hidden="1" customHeight="1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66">
        <v>12</v>
      </c>
      <c r="AE45" s="370">
        <v>1.131</v>
      </c>
      <c r="AF45" s="369">
        <f t="shared" si="0"/>
        <v>2.262</v>
      </c>
      <c r="AG45" s="369">
        <f t="shared" si="0"/>
        <v>3.3929999999999998</v>
      </c>
      <c r="AH45" s="369">
        <f t="shared" si="0"/>
        <v>4.524</v>
      </c>
      <c r="AI45" s="369">
        <f t="shared" si="0"/>
        <v>5.6550000000000002</v>
      </c>
      <c r="AJ45" s="369">
        <f t="shared" si="0"/>
        <v>6.7859999999999996</v>
      </c>
      <c r="AK45" s="369">
        <f t="shared" si="0"/>
        <v>7.9169999999999998</v>
      </c>
      <c r="AL45" s="369">
        <f t="shared" si="0"/>
        <v>9.048</v>
      </c>
      <c r="AM45" s="369">
        <f t="shared" si="0"/>
        <v>10.179</v>
      </c>
      <c r="AN45" s="369">
        <f t="shared" si="0"/>
        <v>11.31</v>
      </c>
      <c r="AO45" s="369">
        <f t="shared" si="0"/>
        <v>12.441000000000001</v>
      </c>
      <c r="AP45" s="369">
        <f t="shared" si="1"/>
        <v>13.571999999999999</v>
      </c>
      <c r="AQ45" s="369">
        <f t="shared" si="1"/>
        <v>14.702999999999999</v>
      </c>
      <c r="AR45" s="369">
        <f t="shared" si="1"/>
        <v>15.834</v>
      </c>
      <c r="AS45" s="369">
        <f t="shared" si="1"/>
        <v>16.965</v>
      </c>
      <c r="AT45" s="369">
        <f t="shared" si="1"/>
        <v>18.096</v>
      </c>
      <c r="AU45" s="369">
        <f t="shared" si="1"/>
        <v>19.227</v>
      </c>
      <c r="AV45" s="369">
        <f t="shared" si="1"/>
        <v>20.358000000000001</v>
      </c>
      <c r="AW45" s="369">
        <f t="shared" si="1"/>
        <v>21.489000000000001</v>
      </c>
      <c r="AX45" s="368">
        <f t="shared" si="1"/>
        <v>22.62</v>
      </c>
      <c r="AY45" s="367">
        <f t="shared" si="2"/>
        <v>0.88781408390447547</v>
      </c>
      <c r="AZ45" s="366">
        <v>12</v>
      </c>
    </row>
    <row r="46" spans="1:52" ht="15.75" hidden="1" customHeight="1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66">
        <v>14</v>
      </c>
      <c r="AE46" s="370">
        <v>1.5389999999999999</v>
      </c>
      <c r="AF46" s="369">
        <f t="shared" si="0"/>
        <v>3.0779999999999998</v>
      </c>
      <c r="AG46" s="369">
        <f t="shared" si="0"/>
        <v>4.617</v>
      </c>
      <c r="AH46" s="369">
        <f t="shared" si="0"/>
        <v>6.1559999999999997</v>
      </c>
      <c r="AI46" s="369">
        <f t="shared" si="0"/>
        <v>7.6949999999999994</v>
      </c>
      <c r="AJ46" s="369">
        <f t="shared" si="0"/>
        <v>9.234</v>
      </c>
      <c r="AK46" s="369">
        <f t="shared" si="0"/>
        <v>10.773</v>
      </c>
      <c r="AL46" s="369">
        <f t="shared" si="0"/>
        <v>12.311999999999999</v>
      </c>
      <c r="AM46" s="369">
        <f t="shared" si="0"/>
        <v>13.850999999999999</v>
      </c>
      <c r="AN46" s="369">
        <f t="shared" si="0"/>
        <v>15.389999999999999</v>
      </c>
      <c r="AO46" s="369">
        <f t="shared" si="0"/>
        <v>16.928999999999998</v>
      </c>
      <c r="AP46" s="369">
        <f t="shared" si="1"/>
        <v>18.468</v>
      </c>
      <c r="AQ46" s="369">
        <f t="shared" si="1"/>
        <v>20.006999999999998</v>
      </c>
      <c r="AR46" s="369">
        <f t="shared" si="1"/>
        <v>21.545999999999999</v>
      </c>
      <c r="AS46" s="369">
        <f t="shared" si="1"/>
        <v>23.084999999999997</v>
      </c>
      <c r="AT46" s="369">
        <f t="shared" si="1"/>
        <v>24.623999999999999</v>
      </c>
      <c r="AU46" s="369">
        <f t="shared" si="1"/>
        <v>26.163</v>
      </c>
      <c r="AV46" s="369">
        <f t="shared" si="1"/>
        <v>27.701999999999998</v>
      </c>
      <c r="AW46" s="369">
        <f t="shared" si="1"/>
        <v>29.241</v>
      </c>
      <c r="AX46" s="368">
        <f t="shared" si="1"/>
        <v>30.779999999999998</v>
      </c>
      <c r="AY46" s="367">
        <f t="shared" si="2"/>
        <v>1.2084136142033142</v>
      </c>
      <c r="AZ46" s="366">
        <v>14</v>
      </c>
    </row>
    <row r="47" spans="1:52" ht="15.75" hidden="1" customHeight="1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66">
        <v>16</v>
      </c>
      <c r="AE47" s="370">
        <v>2.0110000000000001</v>
      </c>
      <c r="AF47" s="369">
        <f t="shared" ref="AF47:AO61" si="3">$AE47*AF$36</f>
        <v>4.0220000000000002</v>
      </c>
      <c r="AG47" s="369">
        <f t="shared" si="3"/>
        <v>6.0330000000000004</v>
      </c>
      <c r="AH47" s="369">
        <f t="shared" si="3"/>
        <v>8.0440000000000005</v>
      </c>
      <c r="AI47" s="369">
        <f t="shared" si="3"/>
        <v>10.055</v>
      </c>
      <c r="AJ47" s="369">
        <f t="shared" si="3"/>
        <v>12.066000000000001</v>
      </c>
      <c r="AK47" s="369">
        <f t="shared" si="3"/>
        <v>14.077000000000002</v>
      </c>
      <c r="AL47" s="369">
        <f t="shared" si="3"/>
        <v>16.088000000000001</v>
      </c>
      <c r="AM47" s="369">
        <f t="shared" si="3"/>
        <v>18.099</v>
      </c>
      <c r="AN47" s="369">
        <f t="shared" si="3"/>
        <v>20.11</v>
      </c>
      <c r="AO47" s="369">
        <f t="shared" si="3"/>
        <v>22.121000000000002</v>
      </c>
      <c r="AP47" s="369">
        <f t="shared" ref="AP47:AX61" si="4">$AE47*AP$36</f>
        <v>24.132000000000001</v>
      </c>
      <c r="AQ47" s="369">
        <f t="shared" si="4"/>
        <v>26.143000000000001</v>
      </c>
      <c r="AR47" s="369">
        <f t="shared" si="4"/>
        <v>28.154000000000003</v>
      </c>
      <c r="AS47" s="369">
        <f t="shared" si="4"/>
        <v>30.165000000000003</v>
      </c>
      <c r="AT47" s="369">
        <f t="shared" si="4"/>
        <v>32.176000000000002</v>
      </c>
      <c r="AU47" s="369">
        <f t="shared" si="4"/>
        <v>34.187000000000005</v>
      </c>
      <c r="AV47" s="369">
        <f t="shared" si="4"/>
        <v>36.198</v>
      </c>
      <c r="AW47" s="369">
        <f t="shared" si="4"/>
        <v>38.209000000000003</v>
      </c>
      <c r="AX47" s="368">
        <f t="shared" si="4"/>
        <v>40.22</v>
      </c>
      <c r="AY47" s="367">
        <f t="shared" si="2"/>
        <v>1.5783361491635119</v>
      </c>
      <c r="AZ47" s="366">
        <v>16</v>
      </c>
    </row>
    <row r="48" spans="1:52" ht="15.75" hidden="1" customHeight="1">
      <c r="A48" s="335"/>
      <c r="B48" s="335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  <c r="AA48" s="335"/>
      <c r="AB48" s="335"/>
      <c r="AC48" s="335"/>
      <c r="AD48" s="366">
        <v>18</v>
      </c>
      <c r="AE48" s="370">
        <v>2.5449999999999999</v>
      </c>
      <c r="AF48" s="369">
        <f t="shared" si="3"/>
        <v>5.09</v>
      </c>
      <c r="AG48" s="369">
        <f t="shared" si="3"/>
        <v>7.6349999999999998</v>
      </c>
      <c r="AH48" s="369">
        <f t="shared" si="3"/>
        <v>10.18</v>
      </c>
      <c r="AI48" s="369">
        <f t="shared" si="3"/>
        <v>12.725</v>
      </c>
      <c r="AJ48" s="369">
        <f t="shared" si="3"/>
        <v>15.27</v>
      </c>
      <c r="AK48" s="369">
        <f t="shared" si="3"/>
        <v>17.814999999999998</v>
      </c>
      <c r="AL48" s="369">
        <f t="shared" si="3"/>
        <v>20.36</v>
      </c>
      <c r="AM48" s="369">
        <f t="shared" si="3"/>
        <v>22.905000000000001</v>
      </c>
      <c r="AN48" s="369">
        <f t="shared" si="3"/>
        <v>25.45</v>
      </c>
      <c r="AO48" s="369">
        <f t="shared" si="3"/>
        <v>27.994999999999997</v>
      </c>
      <c r="AP48" s="369">
        <f t="shared" si="4"/>
        <v>30.54</v>
      </c>
      <c r="AQ48" s="369">
        <f t="shared" si="4"/>
        <v>33.085000000000001</v>
      </c>
      <c r="AR48" s="369">
        <f t="shared" si="4"/>
        <v>35.629999999999995</v>
      </c>
      <c r="AS48" s="369">
        <f t="shared" si="4"/>
        <v>38.174999999999997</v>
      </c>
      <c r="AT48" s="369">
        <f t="shared" si="4"/>
        <v>40.72</v>
      </c>
      <c r="AU48" s="369">
        <f t="shared" si="4"/>
        <v>43.265000000000001</v>
      </c>
      <c r="AV48" s="369">
        <f t="shared" si="4"/>
        <v>45.81</v>
      </c>
      <c r="AW48" s="369">
        <f t="shared" si="4"/>
        <v>48.354999999999997</v>
      </c>
      <c r="AX48" s="368">
        <f t="shared" si="4"/>
        <v>50.9</v>
      </c>
      <c r="AY48" s="367">
        <f t="shared" si="2"/>
        <v>1.9975816887850697</v>
      </c>
      <c r="AZ48" s="366">
        <v>18</v>
      </c>
    </row>
    <row r="49" spans="1:52" ht="15.75" hidden="1" customHeight="1">
      <c r="A49" s="335"/>
      <c r="B49" s="335"/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66">
        <v>20</v>
      </c>
      <c r="AE49" s="370">
        <v>3.1419999999999999</v>
      </c>
      <c r="AF49" s="369">
        <f t="shared" si="3"/>
        <v>6.2839999999999998</v>
      </c>
      <c r="AG49" s="369">
        <f t="shared" si="3"/>
        <v>9.4260000000000002</v>
      </c>
      <c r="AH49" s="369">
        <f t="shared" si="3"/>
        <v>12.568</v>
      </c>
      <c r="AI49" s="369">
        <f t="shared" si="3"/>
        <v>15.709999999999999</v>
      </c>
      <c r="AJ49" s="369">
        <f t="shared" si="3"/>
        <v>18.852</v>
      </c>
      <c r="AK49" s="369">
        <f t="shared" si="3"/>
        <v>21.994</v>
      </c>
      <c r="AL49" s="369">
        <f t="shared" si="3"/>
        <v>25.135999999999999</v>
      </c>
      <c r="AM49" s="369">
        <f t="shared" si="3"/>
        <v>28.277999999999999</v>
      </c>
      <c r="AN49" s="369">
        <f t="shared" si="3"/>
        <v>31.419999999999998</v>
      </c>
      <c r="AO49" s="369">
        <f t="shared" si="3"/>
        <v>34.561999999999998</v>
      </c>
      <c r="AP49" s="369">
        <f t="shared" si="4"/>
        <v>37.704000000000001</v>
      </c>
      <c r="AQ49" s="369">
        <f t="shared" si="4"/>
        <v>40.845999999999997</v>
      </c>
      <c r="AR49" s="369">
        <f t="shared" si="4"/>
        <v>43.988</v>
      </c>
      <c r="AS49" s="369">
        <f t="shared" si="4"/>
        <v>47.129999999999995</v>
      </c>
      <c r="AT49" s="369">
        <f t="shared" si="4"/>
        <v>50.271999999999998</v>
      </c>
      <c r="AU49" s="369">
        <f t="shared" si="4"/>
        <v>53.414000000000001</v>
      </c>
      <c r="AV49" s="369">
        <f t="shared" si="4"/>
        <v>56.555999999999997</v>
      </c>
      <c r="AW49" s="369">
        <f t="shared" si="4"/>
        <v>59.698</v>
      </c>
      <c r="AX49" s="368">
        <f t="shared" si="4"/>
        <v>62.839999999999996</v>
      </c>
      <c r="AY49" s="367">
        <f t="shared" si="2"/>
        <v>2.4661502330679874</v>
      </c>
      <c r="AZ49" s="366">
        <v>20</v>
      </c>
    </row>
    <row r="50" spans="1:52" ht="15.75" hidden="1" customHeight="1">
      <c r="A50" s="335"/>
      <c r="B50" s="335"/>
      <c r="C50" s="335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66">
        <v>22</v>
      </c>
      <c r="AE50" s="370">
        <v>3.8010000000000002</v>
      </c>
      <c r="AF50" s="369">
        <f t="shared" si="3"/>
        <v>7.6020000000000003</v>
      </c>
      <c r="AG50" s="369">
        <f t="shared" si="3"/>
        <v>11.403</v>
      </c>
      <c r="AH50" s="369">
        <f t="shared" si="3"/>
        <v>15.204000000000001</v>
      </c>
      <c r="AI50" s="369">
        <f t="shared" si="3"/>
        <v>19.005000000000003</v>
      </c>
      <c r="AJ50" s="369">
        <f t="shared" si="3"/>
        <v>22.806000000000001</v>
      </c>
      <c r="AK50" s="369">
        <f t="shared" si="3"/>
        <v>26.606999999999999</v>
      </c>
      <c r="AL50" s="369">
        <f t="shared" si="3"/>
        <v>30.408000000000001</v>
      </c>
      <c r="AM50" s="369">
        <f t="shared" si="3"/>
        <v>34.209000000000003</v>
      </c>
      <c r="AN50" s="369">
        <f t="shared" si="3"/>
        <v>38.010000000000005</v>
      </c>
      <c r="AO50" s="369">
        <f t="shared" si="3"/>
        <v>41.811</v>
      </c>
      <c r="AP50" s="369">
        <f t="shared" si="4"/>
        <v>45.612000000000002</v>
      </c>
      <c r="AQ50" s="369">
        <f t="shared" si="4"/>
        <v>49.413000000000004</v>
      </c>
      <c r="AR50" s="369">
        <f t="shared" si="4"/>
        <v>53.213999999999999</v>
      </c>
      <c r="AS50" s="369">
        <f t="shared" si="4"/>
        <v>57.015000000000001</v>
      </c>
      <c r="AT50" s="369">
        <f t="shared" si="4"/>
        <v>60.816000000000003</v>
      </c>
      <c r="AU50" s="369">
        <f t="shared" si="4"/>
        <v>64.617000000000004</v>
      </c>
      <c r="AV50" s="369">
        <f t="shared" si="4"/>
        <v>68.418000000000006</v>
      </c>
      <c r="AW50" s="369">
        <f t="shared" si="4"/>
        <v>72.219000000000008</v>
      </c>
      <c r="AX50" s="368">
        <f t="shared" si="4"/>
        <v>76.02000000000001</v>
      </c>
      <c r="AY50" s="367">
        <f t="shared" si="2"/>
        <v>2.9840417820122647</v>
      </c>
      <c r="AZ50" s="366">
        <v>22</v>
      </c>
    </row>
    <row r="51" spans="1:52" ht="15.75" hidden="1" customHeight="1">
      <c r="A51" s="335"/>
      <c r="B51" s="335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66">
        <v>25</v>
      </c>
      <c r="AE51" s="370">
        <v>4.9089999999999998</v>
      </c>
      <c r="AF51" s="369">
        <f t="shared" si="3"/>
        <v>9.8179999999999996</v>
      </c>
      <c r="AG51" s="369">
        <f t="shared" si="3"/>
        <v>14.727</v>
      </c>
      <c r="AH51" s="369">
        <f t="shared" si="3"/>
        <v>19.635999999999999</v>
      </c>
      <c r="AI51" s="369">
        <f t="shared" si="3"/>
        <v>24.544999999999998</v>
      </c>
      <c r="AJ51" s="369">
        <f t="shared" si="3"/>
        <v>29.454000000000001</v>
      </c>
      <c r="AK51" s="369">
        <f t="shared" si="3"/>
        <v>34.363</v>
      </c>
      <c r="AL51" s="369">
        <f t="shared" si="3"/>
        <v>39.271999999999998</v>
      </c>
      <c r="AM51" s="369">
        <f t="shared" si="3"/>
        <v>44.180999999999997</v>
      </c>
      <c r="AN51" s="369">
        <f t="shared" si="3"/>
        <v>49.089999999999996</v>
      </c>
      <c r="AO51" s="369">
        <f t="shared" si="3"/>
        <v>53.998999999999995</v>
      </c>
      <c r="AP51" s="369">
        <f t="shared" si="4"/>
        <v>58.908000000000001</v>
      </c>
      <c r="AQ51" s="369">
        <f t="shared" si="4"/>
        <v>63.817</v>
      </c>
      <c r="AR51" s="369">
        <f t="shared" si="4"/>
        <v>68.725999999999999</v>
      </c>
      <c r="AS51" s="369">
        <f t="shared" si="4"/>
        <v>73.634999999999991</v>
      </c>
      <c r="AT51" s="369">
        <f t="shared" si="4"/>
        <v>78.543999999999997</v>
      </c>
      <c r="AU51" s="369">
        <f t="shared" si="4"/>
        <v>83.453000000000003</v>
      </c>
      <c r="AV51" s="369">
        <f t="shared" si="4"/>
        <v>88.361999999999995</v>
      </c>
      <c r="AW51" s="369">
        <f t="shared" si="4"/>
        <v>93.271000000000001</v>
      </c>
      <c r="AX51" s="368">
        <f t="shared" si="4"/>
        <v>98.179999999999993</v>
      </c>
      <c r="AY51" s="367">
        <f t="shared" si="2"/>
        <v>3.8533597391687309</v>
      </c>
      <c r="AZ51" s="366">
        <v>25</v>
      </c>
    </row>
    <row r="52" spans="1:52" ht="15.75" hidden="1" customHeight="1">
      <c r="A52" s="335"/>
      <c r="B52" s="335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66">
        <v>28</v>
      </c>
      <c r="AE52" s="370">
        <v>6.1529999999999996</v>
      </c>
      <c r="AF52" s="369">
        <f t="shared" si="3"/>
        <v>12.305999999999999</v>
      </c>
      <c r="AG52" s="369">
        <f t="shared" si="3"/>
        <v>18.459</v>
      </c>
      <c r="AH52" s="369">
        <f t="shared" si="3"/>
        <v>24.611999999999998</v>
      </c>
      <c r="AI52" s="369">
        <f t="shared" si="3"/>
        <v>30.764999999999997</v>
      </c>
      <c r="AJ52" s="369">
        <f t="shared" si="3"/>
        <v>36.917999999999999</v>
      </c>
      <c r="AK52" s="369">
        <f t="shared" si="3"/>
        <v>43.070999999999998</v>
      </c>
      <c r="AL52" s="369">
        <f t="shared" si="3"/>
        <v>49.223999999999997</v>
      </c>
      <c r="AM52" s="369">
        <f t="shared" si="3"/>
        <v>55.376999999999995</v>
      </c>
      <c r="AN52" s="369">
        <f t="shared" si="3"/>
        <v>61.529999999999994</v>
      </c>
      <c r="AO52" s="369">
        <f t="shared" si="3"/>
        <v>67.682999999999993</v>
      </c>
      <c r="AP52" s="369">
        <f t="shared" si="4"/>
        <v>73.835999999999999</v>
      </c>
      <c r="AQ52" s="369">
        <f t="shared" si="4"/>
        <v>79.98899999999999</v>
      </c>
      <c r="AR52" s="369">
        <f t="shared" si="4"/>
        <v>86.141999999999996</v>
      </c>
      <c r="AS52" s="369">
        <f t="shared" si="4"/>
        <v>92.294999999999987</v>
      </c>
      <c r="AT52" s="369">
        <f t="shared" si="4"/>
        <v>98.447999999999993</v>
      </c>
      <c r="AU52" s="369">
        <f t="shared" si="4"/>
        <v>104.601</v>
      </c>
      <c r="AV52" s="369">
        <f t="shared" si="4"/>
        <v>110.75399999999999</v>
      </c>
      <c r="AW52" s="369">
        <f t="shared" si="4"/>
        <v>116.907</v>
      </c>
      <c r="AX52" s="368">
        <f t="shared" si="4"/>
        <v>123.05999999999999</v>
      </c>
      <c r="AY52" s="367">
        <f t="shared" si="2"/>
        <v>4.8336544568132567</v>
      </c>
      <c r="AZ52" s="366">
        <v>28</v>
      </c>
    </row>
    <row r="53" spans="1:52" ht="15.75" hidden="1" customHeight="1">
      <c r="A53" s="335"/>
      <c r="B53" s="335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66">
        <v>32</v>
      </c>
      <c r="AE53" s="370">
        <v>8.0429999999999993</v>
      </c>
      <c r="AF53" s="369">
        <f t="shared" si="3"/>
        <v>16.085999999999999</v>
      </c>
      <c r="AG53" s="369">
        <f t="shared" si="3"/>
        <v>24.128999999999998</v>
      </c>
      <c r="AH53" s="369">
        <f t="shared" si="3"/>
        <v>32.171999999999997</v>
      </c>
      <c r="AI53" s="369">
        <f t="shared" si="3"/>
        <v>40.214999999999996</v>
      </c>
      <c r="AJ53" s="369">
        <f t="shared" si="3"/>
        <v>48.257999999999996</v>
      </c>
      <c r="AK53" s="369">
        <f t="shared" si="3"/>
        <v>56.300999999999995</v>
      </c>
      <c r="AL53" s="369">
        <f t="shared" si="3"/>
        <v>64.343999999999994</v>
      </c>
      <c r="AM53" s="369">
        <f t="shared" si="3"/>
        <v>72.387</v>
      </c>
      <c r="AN53" s="369">
        <f t="shared" si="3"/>
        <v>80.429999999999993</v>
      </c>
      <c r="AO53" s="369">
        <f t="shared" si="3"/>
        <v>88.472999999999985</v>
      </c>
      <c r="AP53" s="369">
        <f t="shared" si="4"/>
        <v>96.515999999999991</v>
      </c>
      <c r="AQ53" s="369">
        <f t="shared" si="4"/>
        <v>104.559</v>
      </c>
      <c r="AR53" s="369">
        <f t="shared" si="4"/>
        <v>112.60199999999999</v>
      </c>
      <c r="AS53" s="369">
        <f t="shared" si="4"/>
        <v>120.64499999999998</v>
      </c>
      <c r="AT53" s="369">
        <f t="shared" si="4"/>
        <v>128.68799999999999</v>
      </c>
      <c r="AU53" s="369">
        <f t="shared" si="4"/>
        <v>136.73099999999999</v>
      </c>
      <c r="AV53" s="369">
        <f t="shared" si="4"/>
        <v>144.774</v>
      </c>
      <c r="AW53" s="369">
        <f t="shared" si="4"/>
        <v>152.81699999999998</v>
      </c>
      <c r="AX53" s="368">
        <f t="shared" si="4"/>
        <v>160.85999999999999</v>
      </c>
      <c r="AY53" s="367">
        <f t="shared" si="2"/>
        <v>6.3133445966540478</v>
      </c>
      <c r="AZ53" s="366">
        <v>32</v>
      </c>
    </row>
    <row r="54" spans="1:52" ht="15.75" hidden="1" customHeight="1">
      <c r="A54" s="335"/>
      <c r="B54" s="335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66">
        <v>36</v>
      </c>
      <c r="AE54" s="370">
        <v>10.179</v>
      </c>
      <c r="AF54" s="369">
        <f t="shared" si="3"/>
        <v>20.358000000000001</v>
      </c>
      <c r="AG54" s="369">
        <f t="shared" si="3"/>
        <v>30.536999999999999</v>
      </c>
      <c r="AH54" s="369">
        <f t="shared" si="3"/>
        <v>40.716000000000001</v>
      </c>
      <c r="AI54" s="369">
        <f t="shared" si="3"/>
        <v>50.895000000000003</v>
      </c>
      <c r="AJ54" s="369">
        <f t="shared" si="3"/>
        <v>61.073999999999998</v>
      </c>
      <c r="AK54" s="369">
        <f t="shared" si="3"/>
        <v>71.253</v>
      </c>
      <c r="AL54" s="369">
        <f t="shared" si="3"/>
        <v>81.432000000000002</v>
      </c>
      <c r="AM54" s="369">
        <f t="shared" si="3"/>
        <v>91.611000000000004</v>
      </c>
      <c r="AN54" s="369">
        <f t="shared" si="3"/>
        <v>101.79</v>
      </c>
      <c r="AO54" s="369">
        <f t="shared" si="3"/>
        <v>111.96900000000001</v>
      </c>
      <c r="AP54" s="369">
        <f t="shared" si="4"/>
        <v>122.148</v>
      </c>
      <c r="AQ54" s="369">
        <f t="shared" si="4"/>
        <v>132.327</v>
      </c>
      <c r="AR54" s="369">
        <f t="shared" si="4"/>
        <v>142.506</v>
      </c>
      <c r="AS54" s="369">
        <f t="shared" si="4"/>
        <v>152.685</v>
      </c>
      <c r="AT54" s="369">
        <f t="shared" si="4"/>
        <v>162.864</v>
      </c>
      <c r="AU54" s="369">
        <f t="shared" si="4"/>
        <v>173.04300000000001</v>
      </c>
      <c r="AV54" s="369">
        <f t="shared" si="4"/>
        <v>183.22200000000001</v>
      </c>
      <c r="AW54" s="369">
        <f t="shared" si="4"/>
        <v>193.40100000000001</v>
      </c>
      <c r="AX54" s="368">
        <f t="shared" si="4"/>
        <v>203.58</v>
      </c>
      <c r="AY54" s="367">
        <f t="shared" si="2"/>
        <v>7.9903267551402788</v>
      </c>
      <c r="AZ54" s="366">
        <v>36</v>
      </c>
    </row>
    <row r="55" spans="1:52" ht="15.75" hidden="1" customHeight="1">
      <c r="A55" s="335"/>
      <c r="B55" s="335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66">
        <v>40</v>
      </c>
      <c r="AE55" s="370">
        <v>12.561</v>
      </c>
      <c r="AF55" s="369">
        <f t="shared" si="3"/>
        <v>25.122</v>
      </c>
      <c r="AG55" s="369">
        <f t="shared" si="3"/>
        <v>37.683</v>
      </c>
      <c r="AH55" s="369">
        <f t="shared" si="3"/>
        <v>50.244</v>
      </c>
      <c r="AI55" s="369">
        <f t="shared" si="3"/>
        <v>62.805</v>
      </c>
      <c r="AJ55" s="369">
        <f t="shared" si="3"/>
        <v>75.366</v>
      </c>
      <c r="AK55" s="369">
        <f t="shared" si="3"/>
        <v>87.926999999999992</v>
      </c>
      <c r="AL55" s="369">
        <f t="shared" si="3"/>
        <v>100.488</v>
      </c>
      <c r="AM55" s="369">
        <f t="shared" si="3"/>
        <v>113.04900000000001</v>
      </c>
      <c r="AN55" s="369">
        <f t="shared" si="3"/>
        <v>125.61</v>
      </c>
      <c r="AO55" s="369">
        <f t="shared" si="3"/>
        <v>138.17099999999999</v>
      </c>
      <c r="AP55" s="369">
        <f t="shared" si="4"/>
        <v>150.732</v>
      </c>
      <c r="AQ55" s="369">
        <f t="shared" si="4"/>
        <v>163.29300000000001</v>
      </c>
      <c r="AR55" s="369">
        <f t="shared" si="4"/>
        <v>175.85399999999998</v>
      </c>
      <c r="AS55" s="369">
        <f t="shared" si="4"/>
        <v>188.41499999999999</v>
      </c>
      <c r="AT55" s="369">
        <f t="shared" si="4"/>
        <v>200.976</v>
      </c>
      <c r="AU55" s="369">
        <f t="shared" si="4"/>
        <v>213.53700000000001</v>
      </c>
      <c r="AV55" s="369">
        <f t="shared" si="4"/>
        <v>226.09800000000001</v>
      </c>
      <c r="AW55" s="369">
        <f t="shared" si="4"/>
        <v>238.65899999999999</v>
      </c>
      <c r="AX55" s="368">
        <f t="shared" si="4"/>
        <v>251.22</v>
      </c>
      <c r="AY55" s="367">
        <f t="shared" si="2"/>
        <v>9.8646009322719497</v>
      </c>
      <c r="AZ55" s="366">
        <v>40</v>
      </c>
    </row>
    <row r="56" spans="1:52" ht="15.75" hidden="1" customHeight="1">
      <c r="A56" s="335"/>
      <c r="B56" s="335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66">
        <v>45</v>
      </c>
      <c r="AE56" s="370">
        <v>15.904</v>
      </c>
      <c r="AF56" s="369">
        <f t="shared" si="3"/>
        <v>31.808</v>
      </c>
      <c r="AG56" s="369">
        <f t="shared" si="3"/>
        <v>47.712000000000003</v>
      </c>
      <c r="AH56" s="369">
        <f t="shared" si="3"/>
        <v>63.616</v>
      </c>
      <c r="AI56" s="369">
        <f t="shared" si="3"/>
        <v>79.52</v>
      </c>
      <c r="AJ56" s="369">
        <f t="shared" si="3"/>
        <v>95.424000000000007</v>
      </c>
      <c r="AK56" s="369">
        <f t="shared" si="3"/>
        <v>111.328</v>
      </c>
      <c r="AL56" s="369">
        <f t="shared" si="3"/>
        <v>127.232</v>
      </c>
      <c r="AM56" s="369">
        <f t="shared" si="3"/>
        <v>143.136</v>
      </c>
      <c r="AN56" s="369">
        <f t="shared" si="3"/>
        <v>159.04</v>
      </c>
      <c r="AO56" s="369">
        <f t="shared" si="3"/>
        <v>174.94399999999999</v>
      </c>
      <c r="AP56" s="369">
        <f t="shared" si="4"/>
        <v>190.84800000000001</v>
      </c>
      <c r="AQ56" s="369">
        <f t="shared" si="4"/>
        <v>206.75200000000001</v>
      </c>
      <c r="AR56" s="369">
        <f t="shared" si="4"/>
        <v>222.65600000000001</v>
      </c>
      <c r="AS56" s="369">
        <f t="shared" si="4"/>
        <v>238.56</v>
      </c>
      <c r="AT56" s="369">
        <f t="shared" si="4"/>
        <v>254.464</v>
      </c>
      <c r="AU56" s="369">
        <f t="shared" si="4"/>
        <v>270.36799999999999</v>
      </c>
      <c r="AV56" s="369">
        <f t="shared" si="4"/>
        <v>286.27199999999999</v>
      </c>
      <c r="AW56" s="369">
        <f t="shared" si="4"/>
        <v>302.17599999999999</v>
      </c>
      <c r="AX56" s="368">
        <f t="shared" si="4"/>
        <v>318.08</v>
      </c>
      <c r="AY56" s="367">
        <f t="shared" si="2"/>
        <v>12.484885554906686</v>
      </c>
      <c r="AZ56" s="366">
        <v>45</v>
      </c>
    </row>
    <row r="57" spans="1:52" ht="15.75" hidden="1" customHeight="1">
      <c r="A57" s="335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66">
        <v>50</v>
      </c>
      <c r="AE57" s="370">
        <v>19.635000000000002</v>
      </c>
      <c r="AF57" s="369">
        <f t="shared" si="3"/>
        <v>39.270000000000003</v>
      </c>
      <c r="AG57" s="369">
        <f t="shared" si="3"/>
        <v>58.905000000000001</v>
      </c>
      <c r="AH57" s="369">
        <f t="shared" si="3"/>
        <v>78.540000000000006</v>
      </c>
      <c r="AI57" s="369">
        <f t="shared" si="3"/>
        <v>98.175000000000011</v>
      </c>
      <c r="AJ57" s="369">
        <f t="shared" si="3"/>
        <v>117.81</v>
      </c>
      <c r="AK57" s="369">
        <f t="shared" si="3"/>
        <v>137.44500000000002</v>
      </c>
      <c r="AL57" s="369">
        <f t="shared" si="3"/>
        <v>157.08000000000001</v>
      </c>
      <c r="AM57" s="369">
        <f t="shared" si="3"/>
        <v>176.715</v>
      </c>
      <c r="AN57" s="369">
        <f t="shared" si="3"/>
        <v>196.35000000000002</v>
      </c>
      <c r="AO57" s="369">
        <f t="shared" si="3"/>
        <v>215.98500000000001</v>
      </c>
      <c r="AP57" s="369">
        <f t="shared" si="4"/>
        <v>235.62</v>
      </c>
      <c r="AQ57" s="369">
        <f t="shared" si="4"/>
        <v>255.25500000000002</v>
      </c>
      <c r="AR57" s="369">
        <f t="shared" si="4"/>
        <v>274.89000000000004</v>
      </c>
      <c r="AS57" s="369">
        <f t="shared" si="4"/>
        <v>294.52500000000003</v>
      </c>
      <c r="AT57" s="369">
        <f t="shared" si="4"/>
        <v>314.16000000000003</v>
      </c>
      <c r="AU57" s="369">
        <f t="shared" si="4"/>
        <v>333.79500000000002</v>
      </c>
      <c r="AV57" s="369">
        <f t="shared" si="4"/>
        <v>353.43</v>
      </c>
      <c r="AW57" s="369">
        <f t="shared" si="4"/>
        <v>373.06500000000005</v>
      </c>
      <c r="AX57" s="368">
        <f t="shared" si="4"/>
        <v>392.70000000000005</v>
      </c>
      <c r="AY57" s="367">
        <f t="shared" si="2"/>
        <v>15.413438956674923</v>
      </c>
      <c r="AZ57" s="366">
        <v>50</v>
      </c>
    </row>
    <row r="58" spans="1:52" ht="15.75" hidden="1" customHeight="1">
      <c r="A58" s="335"/>
      <c r="B58" s="335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66">
        <v>55</v>
      </c>
      <c r="AE58" s="370">
        <v>23.76</v>
      </c>
      <c r="AF58" s="369">
        <f t="shared" si="3"/>
        <v>47.52</v>
      </c>
      <c r="AG58" s="369">
        <f t="shared" si="3"/>
        <v>71.28</v>
      </c>
      <c r="AH58" s="369">
        <f t="shared" si="3"/>
        <v>95.04</v>
      </c>
      <c r="AI58" s="369">
        <f t="shared" si="3"/>
        <v>118.80000000000001</v>
      </c>
      <c r="AJ58" s="369">
        <f t="shared" si="3"/>
        <v>142.56</v>
      </c>
      <c r="AK58" s="369">
        <f t="shared" si="3"/>
        <v>166.32000000000002</v>
      </c>
      <c r="AL58" s="369">
        <f t="shared" si="3"/>
        <v>190.08</v>
      </c>
      <c r="AM58" s="369">
        <f t="shared" si="3"/>
        <v>213.84</v>
      </c>
      <c r="AN58" s="369">
        <f t="shared" si="3"/>
        <v>237.60000000000002</v>
      </c>
      <c r="AO58" s="369">
        <f t="shared" si="3"/>
        <v>261.36</v>
      </c>
      <c r="AP58" s="369">
        <f t="shared" si="4"/>
        <v>285.12</v>
      </c>
      <c r="AQ58" s="369">
        <f t="shared" si="4"/>
        <v>308.88</v>
      </c>
      <c r="AR58" s="369">
        <f t="shared" si="4"/>
        <v>332.64000000000004</v>
      </c>
      <c r="AS58" s="369">
        <f t="shared" si="4"/>
        <v>356.40000000000003</v>
      </c>
      <c r="AT58" s="369">
        <f t="shared" si="4"/>
        <v>380.16</v>
      </c>
      <c r="AU58" s="369">
        <f t="shared" si="4"/>
        <v>403.92</v>
      </c>
      <c r="AV58" s="369">
        <f t="shared" si="4"/>
        <v>427.68</v>
      </c>
      <c r="AW58" s="369">
        <f t="shared" si="4"/>
        <v>451.44000000000005</v>
      </c>
      <c r="AX58" s="368">
        <f t="shared" si="4"/>
        <v>475.20000000000005</v>
      </c>
      <c r="AY58" s="367">
        <f t="shared" si="2"/>
        <v>18.650261137576656</v>
      </c>
      <c r="AZ58" s="366">
        <v>55</v>
      </c>
    </row>
    <row r="59" spans="1:52" ht="15.75" hidden="1" customHeight="1">
      <c r="A59" s="335"/>
      <c r="B59" s="335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66">
        <v>60</v>
      </c>
      <c r="AE59" s="370">
        <v>28.27</v>
      </c>
      <c r="AF59" s="369">
        <f t="shared" si="3"/>
        <v>56.54</v>
      </c>
      <c r="AG59" s="369">
        <f t="shared" si="3"/>
        <v>84.81</v>
      </c>
      <c r="AH59" s="369">
        <f t="shared" si="3"/>
        <v>113.08</v>
      </c>
      <c r="AI59" s="369">
        <f t="shared" si="3"/>
        <v>141.35</v>
      </c>
      <c r="AJ59" s="369">
        <f t="shared" si="3"/>
        <v>169.62</v>
      </c>
      <c r="AK59" s="369">
        <f t="shared" si="3"/>
        <v>197.89</v>
      </c>
      <c r="AL59" s="369">
        <f t="shared" si="3"/>
        <v>226.16</v>
      </c>
      <c r="AM59" s="369">
        <f t="shared" si="3"/>
        <v>254.43</v>
      </c>
      <c r="AN59" s="369">
        <f t="shared" si="3"/>
        <v>282.7</v>
      </c>
      <c r="AO59" s="369">
        <f t="shared" si="3"/>
        <v>310.96999999999997</v>
      </c>
      <c r="AP59" s="369">
        <f t="shared" si="4"/>
        <v>339.24</v>
      </c>
      <c r="AQ59" s="369">
        <f t="shared" si="4"/>
        <v>367.51</v>
      </c>
      <c r="AR59" s="369">
        <f t="shared" si="4"/>
        <v>395.78</v>
      </c>
      <c r="AS59" s="369">
        <f t="shared" si="4"/>
        <v>424.05</v>
      </c>
      <c r="AT59" s="369">
        <f t="shared" si="4"/>
        <v>452.32</v>
      </c>
      <c r="AU59" s="369">
        <f t="shared" si="4"/>
        <v>480.59</v>
      </c>
      <c r="AV59" s="369">
        <f t="shared" si="4"/>
        <v>508.86</v>
      </c>
      <c r="AW59" s="369">
        <f t="shared" si="4"/>
        <v>537.13</v>
      </c>
      <c r="AX59" s="368">
        <f t="shared" si="4"/>
        <v>565.4</v>
      </c>
      <c r="AY59" s="367">
        <f t="shared" si="2"/>
        <v>22.195352097611888</v>
      </c>
      <c r="AZ59" s="366">
        <v>60</v>
      </c>
    </row>
    <row r="60" spans="1:52" ht="15.75" hidden="1" customHeight="1">
      <c r="A60" s="335"/>
      <c r="B60" s="335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66">
        <v>70</v>
      </c>
      <c r="AE60" s="370">
        <v>38.479999999999997</v>
      </c>
      <c r="AF60" s="369">
        <f t="shared" si="3"/>
        <v>76.959999999999994</v>
      </c>
      <c r="AG60" s="369">
        <f t="shared" si="3"/>
        <v>115.44</v>
      </c>
      <c r="AH60" s="369">
        <f t="shared" si="3"/>
        <v>153.91999999999999</v>
      </c>
      <c r="AI60" s="369">
        <f t="shared" si="3"/>
        <v>192.39999999999998</v>
      </c>
      <c r="AJ60" s="369">
        <f t="shared" si="3"/>
        <v>230.88</v>
      </c>
      <c r="AK60" s="369">
        <f t="shared" si="3"/>
        <v>269.35999999999996</v>
      </c>
      <c r="AL60" s="369">
        <f t="shared" si="3"/>
        <v>307.83999999999997</v>
      </c>
      <c r="AM60" s="369">
        <f t="shared" si="3"/>
        <v>346.32</v>
      </c>
      <c r="AN60" s="369">
        <f t="shared" si="3"/>
        <v>384.79999999999995</v>
      </c>
      <c r="AO60" s="369">
        <f t="shared" si="3"/>
        <v>423.28</v>
      </c>
      <c r="AP60" s="369">
        <f t="shared" si="4"/>
        <v>461.76</v>
      </c>
      <c r="AQ60" s="369">
        <f t="shared" si="4"/>
        <v>500.23999999999995</v>
      </c>
      <c r="AR60" s="369">
        <f t="shared" si="4"/>
        <v>538.71999999999991</v>
      </c>
      <c r="AS60" s="369">
        <f t="shared" si="4"/>
        <v>577.19999999999993</v>
      </c>
      <c r="AT60" s="369">
        <f t="shared" si="4"/>
        <v>615.67999999999995</v>
      </c>
      <c r="AU60" s="369">
        <f t="shared" si="4"/>
        <v>654.16</v>
      </c>
      <c r="AV60" s="369">
        <f t="shared" si="4"/>
        <v>692.64</v>
      </c>
      <c r="AW60" s="369">
        <f t="shared" si="4"/>
        <v>731.11999999999989</v>
      </c>
      <c r="AX60" s="368">
        <f t="shared" si="4"/>
        <v>769.59999999999991</v>
      </c>
      <c r="AY60" s="367">
        <f t="shared" si="2"/>
        <v>30.210340355082852</v>
      </c>
      <c r="AZ60" s="366">
        <v>70</v>
      </c>
    </row>
    <row r="61" spans="1:52" ht="15.75" hidden="1" customHeight="1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  <c r="AA61" s="335"/>
      <c r="AB61" s="335"/>
      <c r="AC61" s="335"/>
      <c r="AD61" s="366">
        <v>80</v>
      </c>
      <c r="AE61" s="370">
        <v>50.27</v>
      </c>
      <c r="AF61" s="369">
        <f t="shared" si="3"/>
        <v>100.54</v>
      </c>
      <c r="AG61" s="369">
        <f t="shared" si="3"/>
        <v>150.81</v>
      </c>
      <c r="AH61" s="369">
        <f t="shared" si="3"/>
        <v>201.08</v>
      </c>
      <c r="AI61" s="369">
        <f t="shared" si="3"/>
        <v>251.35000000000002</v>
      </c>
      <c r="AJ61" s="369">
        <f t="shared" si="3"/>
        <v>301.62</v>
      </c>
      <c r="AK61" s="369">
        <f t="shared" si="3"/>
        <v>351.89000000000004</v>
      </c>
      <c r="AL61" s="369">
        <f t="shared" si="3"/>
        <v>402.16</v>
      </c>
      <c r="AM61" s="369">
        <f t="shared" si="3"/>
        <v>452.43</v>
      </c>
      <c r="AN61" s="369">
        <f t="shared" si="3"/>
        <v>502.70000000000005</v>
      </c>
      <c r="AO61" s="369">
        <f t="shared" si="3"/>
        <v>552.97</v>
      </c>
      <c r="AP61" s="369">
        <f t="shared" si="4"/>
        <v>603.24</v>
      </c>
      <c r="AQ61" s="369">
        <f t="shared" si="4"/>
        <v>653.51</v>
      </c>
      <c r="AR61" s="369">
        <f t="shared" si="4"/>
        <v>703.78000000000009</v>
      </c>
      <c r="AS61" s="369">
        <f t="shared" si="4"/>
        <v>754.05000000000007</v>
      </c>
      <c r="AT61" s="369">
        <f t="shared" si="4"/>
        <v>804.32</v>
      </c>
      <c r="AU61" s="369">
        <f t="shared" si="4"/>
        <v>854.59</v>
      </c>
      <c r="AV61" s="369">
        <f t="shared" si="4"/>
        <v>904.86</v>
      </c>
      <c r="AW61" s="369">
        <f t="shared" si="4"/>
        <v>955.13000000000011</v>
      </c>
      <c r="AX61" s="368">
        <f t="shared" si="4"/>
        <v>1005.4000000000001</v>
      </c>
      <c r="AY61" s="367">
        <f t="shared" si="2"/>
        <v>39.458403729087799</v>
      </c>
      <c r="AZ61" s="366">
        <v>80</v>
      </c>
    </row>
    <row r="62" spans="1:52" ht="15.75" customHeight="1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335"/>
      <c r="AQ62" s="335"/>
      <c r="AR62" s="335"/>
      <c r="AS62" s="335"/>
      <c r="AT62" s="335"/>
      <c r="AU62" s="335"/>
      <c r="AV62" s="335"/>
      <c r="AW62" s="335"/>
      <c r="AX62" s="335"/>
      <c r="AY62" s="335"/>
      <c r="AZ62" s="335"/>
    </row>
    <row r="63" spans="1:52" ht="13.5" customHeight="1">
      <c r="A63" s="365"/>
      <c r="B63" s="668" t="s">
        <v>298</v>
      </c>
      <c r="C63" s="680" t="s">
        <v>306</v>
      </c>
      <c r="D63" s="681"/>
      <c r="E63" s="364"/>
      <c r="F63" s="680" t="s">
        <v>305</v>
      </c>
      <c r="G63" s="681"/>
      <c r="H63" s="364"/>
      <c r="I63" s="671" t="s">
        <v>304</v>
      </c>
      <c r="J63" s="653"/>
      <c r="K63" s="653"/>
      <c r="L63" s="654"/>
      <c r="M63" s="668" t="s">
        <v>298</v>
      </c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63"/>
      <c r="AK63" s="363"/>
      <c r="AL63" s="363"/>
      <c r="AM63" s="363"/>
      <c r="AN63" s="363"/>
      <c r="AO63" s="363"/>
      <c r="AP63" s="363"/>
      <c r="AQ63" s="363"/>
      <c r="AR63" s="363"/>
      <c r="AS63" s="363"/>
      <c r="AT63" s="363"/>
      <c r="AU63" s="363"/>
      <c r="AV63" s="363"/>
      <c r="AW63" s="363"/>
      <c r="AX63" s="363"/>
      <c r="AY63" s="363"/>
      <c r="AZ63" s="363"/>
    </row>
    <row r="64" spans="1:52" ht="45" customHeight="1">
      <c r="A64" s="358"/>
      <c r="B64" s="650"/>
      <c r="C64" s="360" t="s">
        <v>314</v>
      </c>
      <c r="D64" s="361" t="s">
        <v>313</v>
      </c>
      <c r="E64" s="362"/>
      <c r="F64" s="360" t="s">
        <v>312</v>
      </c>
      <c r="G64" s="361" t="s">
        <v>311</v>
      </c>
      <c r="H64" s="362"/>
      <c r="I64" s="361" t="s">
        <v>310</v>
      </c>
      <c r="J64" s="360" t="s">
        <v>309</v>
      </c>
      <c r="K64" s="360" t="s">
        <v>308</v>
      </c>
      <c r="L64" s="359" t="s">
        <v>307</v>
      </c>
      <c r="M64" s="650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355"/>
      <c r="AB64" s="355"/>
      <c r="AC64" s="355"/>
      <c r="AD64" s="355"/>
      <c r="AE64" s="355"/>
      <c r="AF64" s="355"/>
      <c r="AG64" s="355"/>
      <c r="AH64" s="355"/>
      <c r="AI64" s="355"/>
      <c r="AJ64" s="355"/>
      <c r="AK64" s="355"/>
      <c r="AL64" s="355"/>
      <c r="AM64" s="355"/>
      <c r="AN64" s="355"/>
      <c r="AO64" s="355"/>
      <c r="AP64" s="355"/>
      <c r="AQ64" s="355"/>
      <c r="AR64" s="355"/>
      <c r="AS64" s="355"/>
      <c r="AT64" s="355"/>
      <c r="AU64" s="355"/>
      <c r="AV64" s="355"/>
      <c r="AW64" s="355"/>
      <c r="AX64" s="355"/>
      <c r="AY64" s="355"/>
      <c r="AZ64" s="355"/>
    </row>
    <row r="65" spans="1:52" ht="15.75" customHeight="1">
      <c r="A65" s="358"/>
      <c r="B65" s="651"/>
      <c r="C65" s="357" t="s">
        <v>291</v>
      </c>
      <c r="D65" s="357" t="s">
        <v>297</v>
      </c>
      <c r="E65" s="357"/>
      <c r="F65" s="357" t="s">
        <v>296</v>
      </c>
      <c r="G65" s="357" t="s">
        <v>295</v>
      </c>
      <c r="H65" s="357"/>
      <c r="I65" s="356" t="s">
        <v>294</v>
      </c>
      <c r="J65" s="356" t="s">
        <v>293</v>
      </c>
      <c r="K65" s="356" t="s">
        <v>292</v>
      </c>
      <c r="L65" s="356" t="s">
        <v>291</v>
      </c>
      <c r="M65" s="651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355"/>
      <c r="Z65" s="355"/>
      <c r="AA65" s="355"/>
      <c r="AB65" s="355"/>
      <c r="AC65" s="355"/>
      <c r="AD65" s="355"/>
      <c r="AE65" s="355"/>
      <c r="AF65" s="355"/>
      <c r="AG65" s="355"/>
      <c r="AH65" s="355"/>
      <c r="AI65" s="355"/>
      <c r="AJ65" s="355"/>
      <c r="AK65" s="355"/>
      <c r="AL65" s="355"/>
      <c r="AM65" s="355"/>
      <c r="AN65" s="355"/>
      <c r="AO65" s="355"/>
      <c r="AP65" s="355"/>
      <c r="AQ65" s="355"/>
      <c r="AR65" s="355"/>
      <c r="AS65" s="355"/>
      <c r="AT65" s="355"/>
      <c r="AU65" s="355"/>
      <c r="AV65" s="355"/>
      <c r="AW65" s="355"/>
      <c r="AX65" s="355"/>
      <c r="AY65" s="355"/>
      <c r="AZ65" s="355"/>
    </row>
    <row r="66" spans="1:52" ht="15.75" customHeight="1">
      <c r="A66" s="339"/>
      <c r="B66" s="336">
        <v>10</v>
      </c>
      <c r="C66" s="354">
        <v>510</v>
      </c>
      <c r="D66" s="353">
        <v>380</v>
      </c>
      <c r="E66" s="339"/>
      <c r="F66" s="354">
        <v>420</v>
      </c>
      <c r="G66" s="353">
        <v>320</v>
      </c>
      <c r="H66" s="339"/>
      <c r="I66" s="354">
        <v>670</v>
      </c>
      <c r="J66" s="353">
        <v>840</v>
      </c>
      <c r="K66" s="353">
        <v>1180</v>
      </c>
      <c r="L66" s="353">
        <v>510</v>
      </c>
      <c r="M66" s="336">
        <v>10</v>
      </c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  <c r="AA66" s="335"/>
      <c r="AB66" s="335"/>
      <c r="AC66" s="335"/>
      <c r="AD66" s="335"/>
      <c r="AE66" s="335"/>
      <c r="AF66" s="335"/>
      <c r="AG66" s="335"/>
      <c r="AH66" s="335"/>
      <c r="AI66" s="335"/>
      <c r="AJ66" s="335"/>
      <c r="AK66" s="335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 s="335"/>
    </row>
    <row r="67" spans="1:52" ht="15.75" customHeight="1">
      <c r="A67" s="339"/>
      <c r="B67" s="336">
        <v>12</v>
      </c>
      <c r="C67" s="338">
        <v>600</v>
      </c>
      <c r="D67" s="337">
        <v>450</v>
      </c>
      <c r="E67" s="339"/>
      <c r="F67" s="338">
        <v>500</v>
      </c>
      <c r="G67" s="337">
        <v>380</v>
      </c>
      <c r="H67" s="339"/>
      <c r="I67" s="338">
        <v>780</v>
      </c>
      <c r="J67" s="337">
        <v>1000</v>
      </c>
      <c r="K67" s="337">
        <v>1380</v>
      </c>
      <c r="L67" s="337">
        <v>600</v>
      </c>
      <c r="M67" s="336">
        <v>12</v>
      </c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C67" s="335"/>
      <c r="AD67" s="335"/>
      <c r="AE67" s="335"/>
      <c r="AF67" s="335"/>
      <c r="AG67" s="335"/>
      <c r="AH67" s="335"/>
      <c r="AI67" s="335"/>
      <c r="AJ67" s="335"/>
      <c r="AK67" s="335"/>
      <c r="AL67" s="335"/>
      <c r="AM67" s="335"/>
      <c r="AN67" s="335"/>
      <c r="AO67" s="335"/>
      <c r="AP67" s="335"/>
      <c r="AQ67" s="335"/>
      <c r="AR67" s="335"/>
      <c r="AS67" s="335"/>
      <c r="AT67" s="335"/>
      <c r="AU67" s="335"/>
      <c r="AV67" s="335"/>
      <c r="AW67" s="335"/>
      <c r="AX67" s="335"/>
      <c r="AY67" s="335"/>
      <c r="AZ67" s="335"/>
    </row>
    <row r="68" spans="1:52" ht="15.75" customHeight="1">
      <c r="A68" s="339"/>
      <c r="B68" s="336">
        <v>16</v>
      </c>
      <c r="C68" s="338">
        <v>810</v>
      </c>
      <c r="D68" s="337">
        <v>610</v>
      </c>
      <c r="E68" s="339"/>
      <c r="F68" s="338">
        <v>670</v>
      </c>
      <c r="G68" s="337">
        <v>510</v>
      </c>
      <c r="H68" s="339"/>
      <c r="I68" s="338">
        <v>1060</v>
      </c>
      <c r="J68" s="337">
        <v>1340</v>
      </c>
      <c r="K68" s="337">
        <v>1870</v>
      </c>
      <c r="L68" s="337">
        <v>810</v>
      </c>
      <c r="M68" s="336">
        <v>16</v>
      </c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335"/>
      <c r="AU68" s="335"/>
      <c r="AV68" s="335"/>
      <c r="AW68" s="335"/>
      <c r="AX68" s="335"/>
      <c r="AY68" s="335"/>
      <c r="AZ68" s="335"/>
    </row>
    <row r="69" spans="1:52" ht="15.75" customHeight="1">
      <c r="A69" s="340" t="s">
        <v>77</v>
      </c>
      <c r="B69" s="336">
        <v>20</v>
      </c>
      <c r="C69" s="338">
        <v>1000</v>
      </c>
      <c r="D69" s="337">
        <v>750</v>
      </c>
      <c r="E69" s="339"/>
      <c r="F69" s="338">
        <v>830</v>
      </c>
      <c r="G69" s="337">
        <v>630</v>
      </c>
      <c r="H69" s="339"/>
      <c r="I69" s="338">
        <v>1300</v>
      </c>
      <c r="J69" s="337">
        <v>1660</v>
      </c>
      <c r="K69" s="337">
        <v>2300</v>
      </c>
      <c r="L69" s="337">
        <v>1000</v>
      </c>
      <c r="M69" s="336">
        <v>20</v>
      </c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  <c r="AA69" s="335"/>
      <c r="AB69" s="335"/>
      <c r="AC69" s="335"/>
      <c r="AD69" s="335"/>
      <c r="AE69" s="335"/>
      <c r="AF69" s="335"/>
      <c r="AG69" s="335"/>
      <c r="AH69" s="335"/>
      <c r="AI69" s="335"/>
      <c r="AJ69" s="335"/>
      <c r="AK69" s="335"/>
      <c r="AL69" s="335"/>
      <c r="AM69" s="335"/>
      <c r="AN69" s="335"/>
      <c r="AO69" s="335"/>
      <c r="AP69" s="335"/>
      <c r="AQ69" s="335"/>
      <c r="AR69" s="335"/>
      <c r="AS69" s="335"/>
      <c r="AT69" s="335"/>
      <c r="AU69" s="335"/>
      <c r="AV69" s="335"/>
      <c r="AW69" s="335"/>
      <c r="AX69" s="335"/>
      <c r="AY69" s="335"/>
      <c r="AZ69" s="335"/>
    </row>
    <row r="70" spans="1:52" ht="15.75" customHeight="1">
      <c r="A70" s="336" t="s">
        <v>290</v>
      </c>
      <c r="B70" s="336">
        <v>25</v>
      </c>
      <c r="C70" s="338">
        <v>1250</v>
      </c>
      <c r="D70" s="337">
        <v>940</v>
      </c>
      <c r="E70" s="339"/>
      <c r="F70" s="338">
        <v>1040</v>
      </c>
      <c r="G70" s="337">
        <v>780</v>
      </c>
      <c r="H70" s="339"/>
      <c r="I70" s="338">
        <v>1630</v>
      </c>
      <c r="J70" s="337">
        <v>2080</v>
      </c>
      <c r="K70" s="337">
        <v>2880</v>
      </c>
      <c r="L70" s="337">
        <v>1250</v>
      </c>
      <c r="M70" s="336">
        <v>25</v>
      </c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  <c r="AA70" s="335"/>
      <c r="AB70" s="335"/>
      <c r="AC70" s="335"/>
      <c r="AD70" s="335"/>
      <c r="AE70" s="335"/>
      <c r="AF70" s="335"/>
      <c r="AG70" s="335"/>
      <c r="AH70" s="335"/>
      <c r="AI70" s="335"/>
      <c r="AJ70" s="335"/>
      <c r="AK70" s="335"/>
      <c r="AL70" s="335"/>
      <c r="AM70" s="335"/>
      <c r="AN70" s="335"/>
      <c r="AO70" s="335"/>
      <c r="AP70" s="335"/>
      <c r="AQ70" s="335"/>
      <c r="AR70" s="335"/>
      <c r="AS70" s="335"/>
      <c r="AT70" s="335"/>
      <c r="AU70" s="335"/>
      <c r="AV70" s="335"/>
      <c r="AW70" s="335"/>
      <c r="AX70" s="335"/>
      <c r="AY70" s="335"/>
      <c r="AZ70" s="335"/>
    </row>
    <row r="71" spans="1:52" ht="15.75" customHeight="1">
      <c r="A71" s="339"/>
      <c r="B71" s="336">
        <v>28</v>
      </c>
      <c r="C71" s="338">
        <v>1400</v>
      </c>
      <c r="D71" s="337">
        <v>1050</v>
      </c>
      <c r="E71" s="339"/>
      <c r="F71" s="338">
        <v>1160</v>
      </c>
      <c r="G71" s="337">
        <v>870</v>
      </c>
      <c r="H71" s="339"/>
      <c r="I71" s="338">
        <v>1820</v>
      </c>
      <c r="J71" s="337">
        <v>2320</v>
      </c>
      <c r="K71" s="337">
        <v>3220</v>
      </c>
      <c r="L71" s="337">
        <v>1400</v>
      </c>
      <c r="M71" s="336">
        <v>28</v>
      </c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35"/>
      <c r="AM71" s="335"/>
      <c r="AN71" s="335"/>
      <c r="AO71" s="335"/>
      <c r="AP71" s="335"/>
      <c r="AQ71" s="335"/>
      <c r="AR71" s="335"/>
      <c r="AS71" s="335"/>
      <c r="AT71" s="335"/>
      <c r="AU71" s="335"/>
      <c r="AV71" s="335"/>
      <c r="AW71" s="335"/>
      <c r="AX71" s="335"/>
      <c r="AY71" s="335"/>
      <c r="AZ71" s="335"/>
    </row>
    <row r="72" spans="1:52" ht="15.75" customHeight="1">
      <c r="A72" s="339"/>
      <c r="B72" s="336">
        <v>32</v>
      </c>
      <c r="C72" s="338">
        <v>1600</v>
      </c>
      <c r="D72" s="337">
        <v>1200</v>
      </c>
      <c r="E72" s="339"/>
      <c r="F72" s="338">
        <v>1330</v>
      </c>
      <c r="G72" s="337">
        <v>1000</v>
      </c>
      <c r="H72" s="339"/>
      <c r="I72" s="338">
        <v>2080</v>
      </c>
      <c r="J72" s="337">
        <v>2660</v>
      </c>
      <c r="K72" s="337">
        <v>3680</v>
      </c>
      <c r="L72" s="337">
        <v>1600</v>
      </c>
      <c r="M72" s="336">
        <v>32</v>
      </c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  <c r="AA72" s="335"/>
      <c r="AB72" s="335"/>
      <c r="AC72" s="335"/>
      <c r="AD72" s="335"/>
      <c r="AE72" s="335"/>
      <c r="AF72" s="335"/>
      <c r="AG72" s="335"/>
      <c r="AH72" s="335"/>
      <c r="AI72" s="335"/>
      <c r="AJ72" s="335"/>
      <c r="AK72" s="335"/>
      <c r="AL72" s="335"/>
      <c r="AM72" s="335"/>
      <c r="AN72" s="335"/>
      <c r="AO72" s="335"/>
      <c r="AP72" s="335"/>
      <c r="AQ72" s="335"/>
      <c r="AR72" s="335"/>
      <c r="AS72" s="335"/>
      <c r="AT72" s="335"/>
      <c r="AU72" s="335"/>
      <c r="AV72" s="335"/>
      <c r="AW72" s="335"/>
      <c r="AX72" s="335"/>
      <c r="AY72" s="335"/>
      <c r="AZ72" s="335"/>
    </row>
    <row r="73" spans="1:52" ht="15.75" customHeight="1">
      <c r="A73" s="339"/>
      <c r="B73" s="336">
        <v>36</v>
      </c>
      <c r="C73" s="338">
        <v>2000</v>
      </c>
      <c r="D73" s="337">
        <v>1500</v>
      </c>
      <c r="E73" s="339"/>
      <c r="F73" s="338">
        <v>1660</v>
      </c>
      <c r="G73" s="337">
        <v>1250</v>
      </c>
      <c r="H73" s="339"/>
      <c r="I73" s="338">
        <v>2600</v>
      </c>
      <c r="J73" s="337">
        <v>3320</v>
      </c>
      <c r="K73" s="337">
        <v>4600</v>
      </c>
      <c r="L73" s="337">
        <v>2000</v>
      </c>
      <c r="M73" s="336">
        <v>36</v>
      </c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5"/>
      <c r="Z73" s="335"/>
      <c r="AA73" s="335"/>
      <c r="AB73" s="335"/>
      <c r="AC73" s="335"/>
      <c r="AD73" s="335"/>
      <c r="AE73" s="335"/>
      <c r="AF73" s="335"/>
      <c r="AG73" s="335"/>
      <c r="AH73" s="335"/>
      <c r="AI73" s="335"/>
      <c r="AJ73" s="335"/>
      <c r="AK73" s="335"/>
      <c r="AL73" s="335"/>
      <c r="AM73" s="335"/>
      <c r="AN73" s="335"/>
      <c r="AO73" s="335"/>
      <c r="AP73" s="335"/>
      <c r="AQ73" s="335"/>
      <c r="AR73" s="335"/>
      <c r="AS73" s="335"/>
      <c r="AT73" s="335"/>
      <c r="AU73" s="335"/>
      <c r="AV73" s="335"/>
      <c r="AW73" s="335"/>
      <c r="AX73" s="335"/>
      <c r="AY73" s="335"/>
      <c r="AZ73" s="335"/>
    </row>
    <row r="74" spans="1:52" ht="15.7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335"/>
      <c r="AB74" s="335"/>
      <c r="AC74" s="335"/>
      <c r="AD74" s="335"/>
      <c r="AE74" s="335"/>
      <c r="AF74" s="335"/>
      <c r="AG74" s="335"/>
      <c r="AH74" s="335"/>
      <c r="AI74" s="335"/>
      <c r="AJ74" s="335"/>
      <c r="AK74" s="335"/>
      <c r="AL74" s="335"/>
      <c r="AM74" s="335"/>
      <c r="AN74" s="335"/>
      <c r="AO74" s="335"/>
      <c r="AP74" s="335"/>
      <c r="AQ74" s="335"/>
      <c r="AR74" s="335"/>
      <c r="AS74" s="335"/>
      <c r="AT74" s="335"/>
      <c r="AU74" s="335"/>
      <c r="AV74" s="335"/>
      <c r="AW74" s="335"/>
      <c r="AX74" s="335"/>
      <c r="AY74" s="335"/>
      <c r="AZ74" s="335"/>
    </row>
    <row r="75" spans="1:52" ht="15.75" customHeight="1">
      <c r="A75" s="339"/>
      <c r="B75" s="339"/>
      <c r="C75" s="671" t="s">
        <v>306</v>
      </c>
      <c r="D75" s="654"/>
      <c r="E75" s="352"/>
      <c r="F75" s="671" t="s">
        <v>305</v>
      </c>
      <c r="G75" s="654"/>
      <c r="H75" s="339"/>
      <c r="I75" s="671" t="s">
        <v>304</v>
      </c>
      <c r="J75" s="653"/>
      <c r="K75" s="653"/>
      <c r="L75" s="654"/>
      <c r="M75" s="335"/>
      <c r="N75" s="335"/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  <c r="AJ75" s="335"/>
      <c r="AK75" s="335"/>
      <c r="AL75" s="335"/>
      <c r="AM75" s="335"/>
      <c r="AN75" s="335"/>
      <c r="AO75" s="335"/>
      <c r="AP75" s="335"/>
      <c r="AQ75" s="335"/>
      <c r="AR75" s="335"/>
      <c r="AS75" s="335"/>
      <c r="AT75" s="335"/>
      <c r="AU75" s="335"/>
      <c r="AV75" s="335"/>
      <c r="AW75" s="335"/>
      <c r="AX75" s="335"/>
      <c r="AY75" s="335"/>
      <c r="AZ75" s="335"/>
    </row>
    <row r="76" spans="1:52" ht="22.5" customHeight="1">
      <c r="A76" s="339"/>
      <c r="B76" s="682" t="s">
        <v>298</v>
      </c>
      <c r="C76" s="351" t="s">
        <v>303</v>
      </c>
      <c r="D76" s="350" t="s">
        <v>302</v>
      </c>
      <c r="E76" s="345"/>
      <c r="F76" s="351" t="s">
        <v>303</v>
      </c>
      <c r="G76" s="350" t="s">
        <v>302</v>
      </c>
      <c r="H76" s="349"/>
      <c r="I76" s="348" t="s">
        <v>299</v>
      </c>
      <c r="J76" s="347" t="s">
        <v>301</v>
      </c>
      <c r="K76" s="347" t="s">
        <v>300</v>
      </c>
      <c r="L76" s="346" t="s">
        <v>299</v>
      </c>
      <c r="M76" s="668" t="s">
        <v>298</v>
      </c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  <c r="AJ76" s="335"/>
      <c r="AK76" s="335"/>
      <c r="AL76" s="335"/>
      <c r="AM76" s="335"/>
      <c r="AN76" s="335"/>
      <c r="AO76" s="335"/>
      <c r="AP76" s="335"/>
      <c r="AQ76" s="335"/>
      <c r="AR76" s="335"/>
      <c r="AS76" s="335"/>
      <c r="AT76" s="335"/>
      <c r="AU76" s="335"/>
      <c r="AV76" s="335"/>
      <c r="AW76" s="335"/>
      <c r="AX76" s="335"/>
      <c r="AY76" s="335"/>
      <c r="AZ76" s="335"/>
    </row>
    <row r="77" spans="1:52" ht="15" customHeight="1">
      <c r="A77" s="339"/>
      <c r="B77" s="683"/>
      <c r="H77" s="345"/>
      <c r="I77" s="343">
        <v>0.5</v>
      </c>
      <c r="J77" s="344">
        <v>1</v>
      </c>
      <c r="K77" s="344">
        <v>0.5</v>
      </c>
      <c r="L77" s="343">
        <v>1</v>
      </c>
      <c r="M77" s="650"/>
      <c r="N77" s="335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  <c r="AA77" s="335"/>
      <c r="AB77" s="335"/>
      <c r="AC77" s="335"/>
      <c r="AD77" s="335"/>
      <c r="AE77" s="335"/>
      <c r="AF77" s="335"/>
      <c r="AG77" s="335"/>
      <c r="AH77" s="335"/>
      <c r="AI77" s="335"/>
      <c r="AJ77" s="335"/>
      <c r="AK77" s="335"/>
      <c r="AL77" s="335"/>
      <c r="AM77" s="335"/>
      <c r="AN77" s="335"/>
      <c r="AO77" s="335"/>
      <c r="AP77" s="335"/>
      <c r="AQ77" s="335"/>
      <c r="AR77" s="335"/>
      <c r="AS77" s="335"/>
      <c r="AT77" s="335"/>
      <c r="AU77" s="335"/>
      <c r="AV77" s="335"/>
      <c r="AW77" s="335"/>
      <c r="AX77" s="335"/>
      <c r="AY77" s="335"/>
      <c r="AZ77" s="335"/>
    </row>
    <row r="78" spans="1:52" ht="15.75" customHeight="1">
      <c r="A78" s="339"/>
      <c r="B78" s="683"/>
      <c r="C78" s="342" t="s">
        <v>291</v>
      </c>
      <c r="D78" s="342" t="s">
        <v>297</v>
      </c>
      <c r="E78" s="342"/>
      <c r="F78" s="342" t="s">
        <v>296</v>
      </c>
      <c r="G78" s="342" t="s">
        <v>295</v>
      </c>
      <c r="H78" s="342"/>
      <c r="I78" s="341" t="s">
        <v>294</v>
      </c>
      <c r="J78" s="341" t="s">
        <v>293</v>
      </c>
      <c r="K78" s="341" t="s">
        <v>292</v>
      </c>
      <c r="L78" s="341" t="s">
        <v>291</v>
      </c>
      <c r="M78" s="651"/>
      <c r="N78" s="335"/>
      <c r="O78" s="335"/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  <c r="AJ78" s="335"/>
      <c r="AK78" s="335"/>
      <c r="AL78" s="335"/>
      <c r="AM78" s="335"/>
      <c r="AN78" s="335"/>
      <c r="AO78" s="335"/>
      <c r="AP78" s="335"/>
      <c r="AQ78" s="335"/>
      <c r="AR78" s="335"/>
      <c r="AS78" s="335"/>
      <c r="AT78" s="335"/>
      <c r="AU78" s="335"/>
      <c r="AV78" s="335"/>
      <c r="AW78" s="335"/>
      <c r="AX78" s="335"/>
      <c r="AY78" s="335"/>
      <c r="AZ78" s="335"/>
    </row>
    <row r="79" spans="1:52" ht="15.75" customHeight="1">
      <c r="A79" s="339"/>
      <c r="B79" s="336">
        <v>10</v>
      </c>
      <c r="C79" s="338">
        <v>460</v>
      </c>
      <c r="D79" s="337">
        <v>350</v>
      </c>
      <c r="E79" s="339"/>
      <c r="F79" s="338">
        <v>380</v>
      </c>
      <c r="G79" s="337">
        <v>290</v>
      </c>
      <c r="H79" s="339"/>
      <c r="I79" s="338">
        <v>600</v>
      </c>
      <c r="J79" s="337">
        <v>760</v>
      </c>
      <c r="K79" s="337">
        <v>1060</v>
      </c>
      <c r="L79" s="337">
        <v>460</v>
      </c>
      <c r="M79" s="336">
        <v>10</v>
      </c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  <c r="AJ79" s="335"/>
      <c r="AK79" s="335"/>
      <c r="AL79" s="335"/>
      <c r="AM79" s="335"/>
      <c r="AN79" s="335"/>
      <c r="AO79" s="335"/>
      <c r="AP79" s="335"/>
      <c r="AQ79" s="335"/>
      <c r="AR79" s="335"/>
      <c r="AS79" s="335"/>
      <c r="AT79" s="335"/>
      <c r="AU79" s="335"/>
      <c r="AV79" s="335"/>
      <c r="AW79" s="335"/>
      <c r="AX79" s="335"/>
      <c r="AY79" s="335"/>
      <c r="AZ79" s="335"/>
    </row>
    <row r="80" spans="1:52" ht="15.75" customHeight="1">
      <c r="A80" s="339"/>
      <c r="B80" s="336">
        <v>12</v>
      </c>
      <c r="C80" s="338">
        <v>560</v>
      </c>
      <c r="D80" s="337">
        <v>420</v>
      </c>
      <c r="E80" s="339"/>
      <c r="F80" s="338">
        <v>460</v>
      </c>
      <c r="G80" s="337">
        <v>350</v>
      </c>
      <c r="H80" s="339"/>
      <c r="I80" s="338">
        <v>730</v>
      </c>
      <c r="J80" s="337">
        <v>920</v>
      </c>
      <c r="K80" s="337">
        <v>1290</v>
      </c>
      <c r="L80" s="337">
        <v>560</v>
      </c>
      <c r="M80" s="336">
        <v>12</v>
      </c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  <c r="AA80" s="335"/>
      <c r="AB80" s="335"/>
      <c r="AC80" s="335"/>
      <c r="AD80" s="335"/>
      <c r="AE80" s="335"/>
      <c r="AF80" s="335"/>
      <c r="AG80" s="335"/>
      <c r="AH80" s="335"/>
      <c r="AI80" s="335"/>
      <c r="AJ80" s="335"/>
      <c r="AK80" s="335"/>
      <c r="AL80" s="335"/>
      <c r="AM80" s="335"/>
      <c r="AN80" s="335"/>
      <c r="AO80" s="335"/>
      <c r="AP80" s="335"/>
      <c r="AQ80" s="335"/>
      <c r="AR80" s="335"/>
      <c r="AS80" s="335"/>
      <c r="AT80" s="335"/>
      <c r="AU80" s="335"/>
      <c r="AV80" s="335"/>
      <c r="AW80" s="335"/>
      <c r="AX80" s="335"/>
      <c r="AY80" s="335"/>
      <c r="AZ80" s="335"/>
    </row>
    <row r="81" spans="1:52" ht="15.75" customHeight="1">
      <c r="A81" s="339"/>
      <c r="B81" s="336">
        <v>16</v>
      </c>
      <c r="C81" s="338">
        <v>740</v>
      </c>
      <c r="D81" s="337">
        <v>550</v>
      </c>
      <c r="E81" s="339"/>
      <c r="F81" s="338">
        <v>610</v>
      </c>
      <c r="G81" s="337">
        <v>460</v>
      </c>
      <c r="H81" s="339"/>
      <c r="I81" s="338">
        <v>970</v>
      </c>
      <c r="J81" s="337">
        <v>1220</v>
      </c>
      <c r="K81" s="337">
        <v>1710</v>
      </c>
      <c r="L81" s="337">
        <v>740</v>
      </c>
      <c r="M81" s="336">
        <v>16</v>
      </c>
      <c r="N81" s="335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  <c r="AJ81" s="335"/>
      <c r="AK81" s="335"/>
      <c r="AL81" s="335"/>
      <c r="AM81" s="335"/>
      <c r="AN81" s="335"/>
      <c r="AO81" s="335"/>
      <c r="AP81" s="335"/>
      <c r="AQ81" s="335"/>
      <c r="AR81" s="335"/>
      <c r="AS81" s="335"/>
      <c r="AT81" s="335"/>
      <c r="AU81" s="335"/>
      <c r="AV81" s="335"/>
      <c r="AW81" s="335"/>
      <c r="AX81" s="335"/>
      <c r="AY81" s="335"/>
      <c r="AZ81" s="335"/>
    </row>
    <row r="82" spans="1:52" ht="15.75" customHeight="1">
      <c r="A82" s="340" t="s">
        <v>78</v>
      </c>
      <c r="B82" s="336">
        <v>20</v>
      </c>
      <c r="C82" s="338">
        <v>920</v>
      </c>
      <c r="D82" s="337">
        <v>690</v>
      </c>
      <c r="E82" s="339"/>
      <c r="F82" s="338">
        <v>760</v>
      </c>
      <c r="G82" s="337">
        <v>570</v>
      </c>
      <c r="H82" s="339"/>
      <c r="I82" s="338">
        <v>1200</v>
      </c>
      <c r="J82" s="337">
        <v>1520</v>
      </c>
      <c r="K82" s="337">
        <v>2120</v>
      </c>
      <c r="L82" s="337">
        <v>920</v>
      </c>
      <c r="M82" s="336">
        <v>20</v>
      </c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  <c r="AJ82" s="335"/>
      <c r="AK82" s="335"/>
      <c r="AL82" s="335"/>
      <c r="AM82" s="335"/>
      <c r="AN82" s="335"/>
      <c r="AO82" s="335"/>
      <c r="AP82" s="335"/>
      <c r="AQ82" s="335"/>
      <c r="AR82" s="335"/>
      <c r="AS82" s="335"/>
      <c r="AT82" s="335"/>
      <c r="AU82" s="335"/>
      <c r="AV82" s="335"/>
      <c r="AW82" s="335"/>
      <c r="AX82" s="335"/>
      <c r="AY82" s="335"/>
      <c r="AZ82" s="335"/>
    </row>
    <row r="83" spans="1:52" ht="15.75" customHeight="1">
      <c r="A83" s="336" t="s">
        <v>290</v>
      </c>
      <c r="B83" s="336">
        <v>25</v>
      </c>
      <c r="C83" s="338">
        <v>1140</v>
      </c>
      <c r="D83" s="337">
        <v>860</v>
      </c>
      <c r="E83" s="339"/>
      <c r="F83" s="338">
        <v>950</v>
      </c>
      <c r="G83" s="337">
        <v>720</v>
      </c>
      <c r="H83" s="339"/>
      <c r="I83" s="338">
        <v>1490</v>
      </c>
      <c r="J83" s="337">
        <v>1900</v>
      </c>
      <c r="K83" s="337">
        <v>2630</v>
      </c>
      <c r="L83" s="337">
        <v>1140</v>
      </c>
      <c r="M83" s="336">
        <v>25</v>
      </c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5"/>
      <c r="Y83" s="335"/>
      <c r="Z83" s="335"/>
      <c r="AA83" s="335"/>
      <c r="AB83" s="335"/>
      <c r="AC83" s="335"/>
      <c r="AD83" s="335"/>
      <c r="AE83" s="335"/>
      <c r="AF83" s="335"/>
      <c r="AG83" s="335"/>
      <c r="AH83" s="335"/>
      <c r="AI83" s="335"/>
      <c r="AJ83" s="335"/>
      <c r="AK83" s="335"/>
      <c r="AL83" s="335"/>
      <c r="AM83" s="335"/>
      <c r="AN83" s="335"/>
      <c r="AO83" s="335"/>
      <c r="AP83" s="335"/>
      <c r="AQ83" s="335"/>
      <c r="AR83" s="335"/>
      <c r="AS83" s="335"/>
      <c r="AT83" s="335"/>
      <c r="AU83" s="335"/>
      <c r="AV83" s="335"/>
      <c r="AW83" s="335"/>
      <c r="AX83" s="335"/>
      <c r="AY83" s="335"/>
      <c r="AZ83" s="335"/>
    </row>
    <row r="84" spans="1:52" ht="15.75" customHeight="1">
      <c r="A84" s="339"/>
      <c r="B84" s="336">
        <v>28</v>
      </c>
      <c r="C84" s="338">
        <v>1280</v>
      </c>
      <c r="D84" s="337">
        <v>960</v>
      </c>
      <c r="E84" s="339"/>
      <c r="F84" s="338">
        <v>1060</v>
      </c>
      <c r="G84" s="337">
        <v>800</v>
      </c>
      <c r="H84" s="339"/>
      <c r="I84" s="338">
        <v>1670</v>
      </c>
      <c r="J84" s="337">
        <v>2120</v>
      </c>
      <c r="K84" s="337">
        <v>2950</v>
      </c>
      <c r="L84" s="337">
        <v>1280</v>
      </c>
      <c r="M84" s="336">
        <v>28</v>
      </c>
      <c r="N84" s="335"/>
      <c r="O84" s="335"/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  <c r="AJ84" s="335"/>
      <c r="AK84" s="335"/>
      <c r="AL84" s="335"/>
      <c r="AM84" s="335"/>
      <c r="AN84" s="335"/>
      <c r="AO84" s="335"/>
      <c r="AP84" s="335"/>
      <c r="AQ84" s="335"/>
      <c r="AR84" s="335"/>
      <c r="AS84" s="335"/>
      <c r="AT84" s="335"/>
      <c r="AU84" s="335"/>
      <c r="AV84" s="335"/>
      <c r="AW84" s="335"/>
      <c r="AX84" s="335"/>
      <c r="AY84" s="335"/>
      <c r="AZ84" s="335"/>
    </row>
    <row r="85" spans="1:52" ht="15.75" customHeight="1">
      <c r="A85" s="339"/>
      <c r="B85" s="336">
        <v>32</v>
      </c>
      <c r="C85" s="338">
        <v>1470</v>
      </c>
      <c r="D85" s="337">
        <v>1100</v>
      </c>
      <c r="E85" s="339"/>
      <c r="F85" s="338">
        <v>1220</v>
      </c>
      <c r="G85" s="337">
        <v>920</v>
      </c>
      <c r="H85" s="339"/>
      <c r="I85" s="338">
        <v>1920</v>
      </c>
      <c r="J85" s="337">
        <v>2440</v>
      </c>
      <c r="K85" s="337">
        <v>3390</v>
      </c>
      <c r="L85" s="337">
        <v>1470</v>
      </c>
      <c r="M85" s="336">
        <v>32</v>
      </c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  <c r="AJ85" s="335"/>
      <c r="AK85" s="335"/>
      <c r="AL85" s="335"/>
      <c r="AM85" s="335"/>
      <c r="AN85" s="335"/>
      <c r="AO85" s="335"/>
      <c r="AP85" s="335"/>
      <c r="AQ85" s="335"/>
      <c r="AR85" s="335"/>
      <c r="AS85" s="335"/>
      <c r="AT85" s="335"/>
      <c r="AU85" s="335"/>
      <c r="AV85" s="335"/>
      <c r="AW85" s="335"/>
      <c r="AX85" s="335"/>
      <c r="AY85" s="335"/>
      <c r="AZ85" s="335"/>
    </row>
    <row r="86" spans="1:52" ht="15.75" customHeight="1">
      <c r="A86" s="339"/>
      <c r="B86" s="336">
        <v>36</v>
      </c>
      <c r="C86" s="338">
        <v>1830</v>
      </c>
      <c r="D86" s="337">
        <v>1370</v>
      </c>
      <c r="E86" s="339"/>
      <c r="F86" s="338">
        <v>1520</v>
      </c>
      <c r="G86" s="337">
        <v>1140</v>
      </c>
      <c r="H86" s="339"/>
      <c r="I86" s="338">
        <v>2380</v>
      </c>
      <c r="J86" s="337">
        <v>3040</v>
      </c>
      <c r="K86" s="337">
        <v>4210</v>
      </c>
      <c r="L86" s="337">
        <v>1830</v>
      </c>
      <c r="M86" s="336">
        <v>36</v>
      </c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  <c r="AA86" s="335"/>
      <c r="AB86" s="335"/>
      <c r="AC86" s="335"/>
      <c r="AD86" s="335"/>
      <c r="AE86" s="335"/>
      <c r="AF86" s="335"/>
      <c r="AG86" s="335"/>
      <c r="AH86" s="335"/>
      <c r="AI86" s="335"/>
      <c r="AJ86" s="335"/>
      <c r="AK86" s="335"/>
      <c r="AL86" s="335"/>
      <c r="AM86" s="335"/>
      <c r="AN86" s="335"/>
      <c r="AO86" s="335"/>
      <c r="AP86" s="335"/>
      <c r="AQ86" s="335"/>
      <c r="AR86" s="335"/>
      <c r="AS86" s="335"/>
      <c r="AT86" s="335"/>
      <c r="AU86" s="335"/>
      <c r="AV86" s="335"/>
      <c r="AW86" s="335"/>
      <c r="AX86" s="335"/>
      <c r="AY86" s="335"/>
      <c r="AZ86" s="335"/>
    </row>
    <row r="87" spans="1:52" ht="15.7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  <c r="AJ87" s="335"/>
      <c r="AK87" s="335"/>
      <c r="AL87" s="335"/>
      <c r="AM87" s="335"/>
      <c r="AN87" s="335"/>
      <c r="AO87" s="335"/>
      <c r="AP87" s="335"/>
      <c r="AQ87" s="335"/>
      <c r="AR87" s="335"/>
      <c r="AS87" s="335"/>
      <c r="AT87" s="335"/>
      <c r="AU87" s="335"/>
      <c r="AV87" s="335"/>
      <c r="AW87" s="335"/>
      <c r="AX87" s="335"/>
      <c r="AY87" s="335"/>
      <c r="AZ87" s="335"/>
    </row>
    <row r="88" spans="1:52" ht="15.75" customHeight="1">
      <c r="A88" s="339"/>
      <c r="B88" s="339"/>
      <c r="C88" s="671" t="s">
        <v>306</v>
      </c>
      <c r="D88" s="654"/>
      <c r="E88" s="352"/>
      <c r="F88" s="671" t="s">
        <v>305</v>
      </c>
      <c r="G88" s="654"/>
      <c r="H88" s="339"/>
      <c r="I88" s="671" t="s">
        <v>304</v>
      </c>
      <c r="J88" s="653"/>
      <c r="K88" s="653"/>
      <c r="L88" s="654"/>
      <c r="M88" s="335"/>
      <c r="N88" s="335"/>
      <c r="O88" s="335"/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  <c r="AJ88" s="335"/>
      <c r="AK88" s="335"/>
      <c r="AL88" s="335"/>
      <c r="AM88" s="335"/>
      <c r="AN88" s="335"/>
      <c r="AO88" s="335"/>
      <c r="AP88" s="335"/>
      <c r="AQ88" s="335"/>
      <c r="AR88" s="335"/>
      <c r="AS88" s="335"/>
      <c r="AT88" s="335"/>
      <c r="AU88" s="335"/>
      <c r="AV88" s="335"/>
      <c r="AW88" s="335"/>
      <c r="AX88" s="335"/>
      <c r="AY88" s="335"/>
      <c r="AZ88" s="335"/>
    </row>
    <row r="89" spans="1:52" ht="24.75" customHeight="1">
      <c r="A89" s="339"/>
      <c r="B89" s="682" t="s">
        <v>298</v>
      </c>
      <c r="C89" s="351" t="s">
        <v>303</v>
      </c>
      <c r="D89" s="350" t="s">
        <v>302</v>
      </c>
      <c r="E89" s="345"/>
      <c r="F89" s="351" t="s">
        <v>303</v>
      </c>
      <c r="G89" s="350" t="s">
        <v>302</v>
      </c>
      <c r="H89" s="349"/>
      <c r="I89" s="348" t="s">
        <v>299</v>
      </c>
      <c r="J89" s="347" t="s">
        <v>301</v>
      </c>
      <c r="K89" s="347" t="s">
        <v>300</v>
      </c>
      <c r="L89" s="346" t="s">
        <v>299</v>
      </c>
      <c r="M89" s="668" t="s">
        <v>298</v>
      </c>
      <c r="N89" s="335"/>
      <c r="O89" s="335"/>
      <c r="P89" s="335"/>
      <c r="Q89" s="335"/>
      <c r="R89" s="335"/>
      <c r="S89" s="335"/>
      <c r="T89" s="335"/>
      <c r="U89" s="335"/>
      <c r="V89" s="335"/>
      <c r="W89" s="335"/>
      <c r="X89" s="335"/>
      <c r="Y89" s="335"/>
      <c r="Z89" s="335"/>
      <c r="AA89" s="335"/>
      <c r="AB89" s="335"/>
      <c r="AC89" s="335"/>
      <c r="AD89" s="335"/>
      <c r="AE89" s="335"/>
      <c r="AF89" s="335"/>
      <c r="AG89" s="335"/>
      <c r="AH89" s="335"/>
      <c r="AI89" s="335"/>
      <c r="AJ89" s="335"/>
      <c r="AK89" s="335"/>
      <c r="AL89" s="335"/>
      <c r="AM89" s="335"/>
      <c r="AN89" s="335"/>
      <c r="AO89" s="335"/>
      <c r="AP89" s="335"/>
      <c r="AQ89" s="335"/>
      <c r="AR89" s="335"/>
      <c r="AS89" s="335"/>
      <c r="AT89" s="335"/>
      <c r="AU89" s="335"/>
      <c r="AV89" s="335"/>
      <c r="AW89" s="335"/>
      <c r="AX89" s="335"/>
      <c r="AY89" s="335"/>
      <c r="AZ89" s="335"/>
    </row>
    <row r="90" spans="1:52" ht="12" customHeight="1">
      <c r="A90" s="339"/>
      <c r="B90" s="683"/>
      <c r="H90" s="345"/>
      <c r="I90" s="343">
        <v>0.5</v>
      </c>
      <c r="J90" s="344">
        <v>1</v>
      </c>
      <c r="K90" s="344">
        <v>0.5</v>
      </c>
      <c r="L90" s="343">
        <v>1</v>
      </c>
      <c r="M90" s="650"/>
      <c r="N90" s="335"/>
      <c r="O90" s="335"/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  <c r="AJ90" s="335"/>
      <c r="AK90" s="335"/>
      <c r="AL90" s="335"/>
      <c r="AM90" s="335"/>
      <c r="AN90" s="335"/>
      <c r="AO90" s="335"/>
      <c r="AP90" s="335"/>
      <c r="AQ90" s="335"/>
      <c r="AR90" s="335"/>
      <c r="AS90" s="335"/>
      <c r="AT90" s="335"/>
      <c r="AU90" s="335"/>
      <c r="AV90" s="335"/>
      <c r="AW90" s="335"/>
      <c r="AX90" s="335"/>
      <c r="AY90" s="335"/>
      <c r="AZ90" s="335"/>
    </row>
    <row r="91" spans="1:52" ht="15.75" customHeight="1">
      <c r="A91" s="339"/>
      <c r="B91" s="683"/>
      <c r="C91" s="342" t="s">
        <v>291</v>
      </c>
      <c r="D91" s="342" t="s">
        <v>297</v>
      </c>
      <c r="E91" s="342"/>
      <c r="F91" s="342" t="s">
        <v>296</v>
      </c>
      <c r="G91" s="342" t="s">
        <v>295</v>
      </c>
      <c r="H91" s="342"/>
      <c r="I91" s="341" t="s">
        <v>294</v>
      </c>
      <c r="J91" s="341" t="s">
        <v>293</v>
      </c>
      <c r="K91" s="341" t="s">
        <v>292</v>
      </c>
      <c r="L91" s="341" t="s">
        <v>291</v>
      </c>
      <c r="M91" s="651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  <c r="AJ91" s="335"/>
      <c r="AK91" s="335"/>
      <c r="AL91" s="335"/>
      <c r="AM91" s="335"/>
      <c r="AN91" s="335"/>
      <c r="AO91" s="335"/>
      <c r="AP91" s="335"/>
      <c r="AQ91" s="335"/>
      <c r="AR91" s="335"/>
      <c r="AS91" s="335"/>
      <c r="AT91" s="335"/>
      <c r="AU91" s="335"/>
      <c r="AV91" s="335"/>
      <c r="AW91" s="335"/>
      <c r="AX91" s="335"/>
      <c r="AY91" s="335"/>
      <c r="AZ91" s="335"/>
    </row>
    <row r="92" spans="1:52" ht="15.75" customHeight="1">
      <c r="A92" s="339"/>
      <c r="B92" s="336">
        <v>10</v>
      </c>
      <c r="C92" s="338">
        <v>410</v>
      </c>
      <c r="D92" s="337">
        <v>310</v>
      </c>
      <c r="E92" s="339"/>
      <c r="F92" s="338">
        <v>340</v>
      </c>
      <c r="G92" s="337">
        <v>260</v>
      </c>
      <c r="H92" s="339"/>
      <c r="I92" s="338">
        <v>540</v>
      </c>
      <c r="J92" s="337">
        <v>680</v>
      </c>
      <c r="K92" s="337">
        <v>950</v>
      </c>
      <c r="L92" s="337">
        <v>410</v>
      </c>
      <c r="M92" s="336">
        <v>10</v>
      </c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  <c r="AA92" s="335"/>
      <c r="AB92" s="335"/>
      <c r="AC92" s="335"/>
      <c r="AD92" s="335"/>
      <c r="AE92" s="335"/>
      <c r="AF92" s="335"/>
      <c r="AG92" s="335"/>
      <c r="AH92" s="335"/>
      <c r="AI92" s="335"/>
      <c r="AJ92" s="335"/>
      <c r="AK92" s="335"/>
      <c r="AL92" s="335"/>
      <c r="AM92" s="335"/>
      <c r="AN92" s="335"/>
      <c r="AO92" s="335"/>
      <c r="AP92" s="335"/>
      <c r="AQ92" s="335"/>
      <c r="AR92" s="335"/>
      <c r="AS92" s="335"/>
      <c r="AT92" s="335"/>
      <c r="AU92" s="335"/>
      <c r="AV92" s="335"/>
      <c r="AW92" s="335"/>
      <c r="AX92" s="335"/>
      <c r="AY92" s="335"/>
      <c r="AZ92" s="335"/>
    </row>
    <row r="93" spans="1:52" ht="15.75" customHeight="1">
      <c r="A93" s="339"/>
      <c r="B93" s="336">
        <v>12</v>
      </c>
      <c r="C93" s="338">
        <v>500</v>
      </c>
      <c r="D93" s="337">
        <v>370</v>
      </c>
      <c r="E93" s="339"/>
      <c r="F93" s="338">
        <v>410</v>
      </c>
      <c r="G93" s="337">
        <v>310</v>
      </c>
      <c r="H93" s="339"/>
      <c r="I93" s="338">
        <v>650</v>
      </c>
      <c r="J93" s="337">
        <v>820</v>
      </c>
      <c r="K93" s="337">
        <v>1150</v>
      </c>
      <c r="L93" s="337">
        <v>500</v>
      </c>
      <c r="M93" s="336">
        <v>12</v>
      </c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  <c r="AA93" s="335"/>
      <c r="AB93" s="335"/>
      <c r="AC93" s="335"/>
      <c r="AD93" s="335"/>
      <c r="AE93" s="335"/>
      <c r="AF93" s="335"/>
      <c r="AG93" s="335"/>
      <c r="AH93" s="335"/>
      <c r="AI93" s="335"/>
      <c r="AJ93" s="335"/>
      <c r="AK93" s="335"/>
      <c r="AL93" s="335"/>
      <c r="AM93" s="335"/>
      <c r="AN93" s="335"/>
      <c r="AO93" s="335"/>
      <c r="AP93" s="335"/>
      <c r="AQ93" s="335"/>
      <c r="AR93" s="335"/>
      <c r="AS93" s="335"/>
      <c r="AT93" s="335"/>
      <c r="AU93" s="335"/>
      <c r="AV93" s="335"/>
      <c r="AW93" s="335"/>
      <c r="AX93" s="335"/>
      <c r="AY93" s="335"/>
      <c r="AZ93" s="335"/>
    </row>
    <row r="94" spans="1:52" ht="15.75" customHeight="1">
      <c r="A94" s="339"/>
      <c r="B94" s="336">
        <v>16</v>
      </c>
      <c r="C94" s="338">
        <v>650</v>
      </c>
      <c r="D94" s="337">
        <v>490</v>
      </c>
      <c r="E94" s="339"/>
      <c r="F94" s="338">
        <v>540</v>
      </c>
      <c r="G94" s="337">
        <v>410</v>
      </c>
      <c r="H94" s="339"/>
      <c r="I94" s="338">
        <v>850</v>
      </c>
      <c r="J94" s="337">
        <v>1080</v>
      </c>
      <c r="K94" s="337">
        <v>1500</v>
      </c>
      <c r="L94" s="337">
        <v>650</v>
      </c>
      <c r="M94" s="336">
        <v>16</v>
      </c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  <c r="AA94" s="335"/>
      <c r="AB94" s="335"/>
      <c r="AC94" s="335"/>
      <c r="AD94" s="335"/>
      <c r="AE94" s="335"/>
      <c r="AF94" s="335"/>
      <c r="AG94" s="335"/>
      <c r="AH94" s="335"/>
      <c r="AI94" s="335"/>
      <c r="AJ94" s="335"/>
      <c r="AK94" s="335"/>
      <c r="AL94" s="335"/>
      <c r="AM94" s="335"/>
      <c r="AN94" s="335"/>
      <c r="AO94" s="335"/>
      <c r="AP94" s="335"/>
      <c r="AQ94" s="335"/>
      <c r="AR94" s="335"/>
      <c r="AS94" s="335"/>
      <c r="AT94" s="335"/>
      <c r="AU94" s="335"/>
      <c r="AV94" s="335"/>
      <c r="AW94" s="335"/>
      <c r="AX94" s="335"/>
      <c r="AY94" s="335"/>
      <c r="AZ94" s="335"/>
    </row>
    <row r="95" spans="1:52" ht="15.75" customHeight="1">
      <c r="A95" s="340" t="s">
        <v>79</v>
      </c>
      <c r="B95" s="336">
        <v>20</v>
      </c>
      <c r="C95" s="338">
        <v>810</v>
      </c>
      <c r="D95" s="337">
        <v>610</v>
      </c>
      <c r="E95" s="339"/>
      <c r="F95" s="338">
        <v>670</v>
      </c>
      <c r="G95" s="337">
        <v>510</v>
      </c>
      <c r="H95" s="339"/>
      <c r="I95" s="338">
        <v>1060</v>
      </c>
      <c r="J95" s="337">
        <v>1340</v>
      </c>
      <c r="K95" s="337">
        <v>1870</v>
      </c>
      <c r="L95" s="337">
        <v>810</v>
      </c>
      <c r="M95" s="336">
        <v>20</v>
      </c>
      <c r="N95" s="335"/>
      <c r="O95" s="335"/>
      <c r="P95" s="335"/>
      <c r="Q95" s="335"/>
      <c r="R95" s="335"/>
      <c r="S95" s="335"/>
      <c r="T95" s="335"/>
      <c r="U95" s="335"/>
      <c r="V95" s="335"/>
      <c r="W95" s="335"/>
      <c r="X95" s="335"/>
      <c r="Y95" s="335"/>
      <c r="Z95" s="335"/>
      <c r="AA95" s="335"/>
      <c r="AB95" s="335"/>
      <c r="AC95" s="335"/>
      <c r="AD95" s="335"/>
      <c r="AE95" s="335"/>
      <c r="AF95" s="335"/>
      <c r="AG95" s="335"/>
      <c r="AH95" s="335"/>
      <c r="AI95" s="335"/>
      <c r="AJ95" s="335"/>
      <c r="AK95" s="335"/>
      <c r="AL95" s="335"/>
      <c r="AM95" s="335"/>
      <c r="AN95" s="335"/>
      <c r="AO95" s="335"/>
      <c r="AP95" s="335"/>
      <c r="AQ95" s="335"/>
      <c r="AR95" s="335"/>
      <c r="AS95" s="335"/>
      <c r="AT95" s="335"/>
      <c r="AU95" s="335"/>
      <c r="AV95" s="335"/>
      <c r="AW95" s="335"/>
      <c r="AX95" s="335"/>
      <c r="AY95" s="335"/>
      <c r="AZ95" s="335"/>
    </row>
    <row r="96" spans="1:52" ht="15.75" customHeight="1">
      <c r="A96" s="336" t="s">
        <v>290</v>
      </c>
      <c r="B96" s="336">
        <v>25</v>
      </c>
      <c r="C96" s="338">
        <v>1010</v>
      </c>
      <c r="D96" s="337">
        <v>760</v>
      </c>
      <c r="E96" s="339"/>
      <c r="F96" s="338">
        <v>840</v>
      </c>
      <c r="G96" s="337">
        <v>630</v>
      </c>
      <c r="H96" s="339"/>
      <c r="I96" s="338">
        <v>1320</v>
      </c>
      <c r="J96" s="337">
        <v>1680</v>
      </c>
      <c r="K96" s="337">
        <v>2330</v>
      </c>
      <c r="L96" s="337">
        <v>1010</v>
      </c>
      <c r="M96" s="336">
        <v>25</v>
      </c>
      <c r="N96" s="335"/>
      <c r="O96" s="335"/>
      <c r="P96" s="335"/>
      <c r="Q96" s="335"/>
      <c r="R96" s="335"/>
      <c r="S96" s="335"/>
      <c r="T96" s="335"/>
      <c r="U96" s="335"/>
      <c r="V96" s="335"/>
      <c r="W96" s="335"/>
      <c r="X96" s="335"/>
      <c r="Y96" s="335"/>
      <c r="Z96" s="335"/>
      <c r="AA96" s="335"/>
      <c r="AB96" s="335"/>
      <c r="AC96" s="335"/>
      <c r="AD96" s="335"/>
      <c r="AE96" s="335"/>
      <c r="AF96" s="335"/>
      <c r="AG96" s="335"/>
      <c r="AH96" s="335"/>
      <c r="AI96" s="335"/>
      <c r="AJ96" s="335"/>
      <c r="AK96" s="335"/>
      <c r="AL96" s="335"/>
      <c r="AM96" s="335"/>
      <c r="AN96" s="335"/>
      <c r="AO96" s="335"/>
      <c r="AP96" s="335"/>
      <c r="AQ96" s="335"/>
      <c r="AR96" s="335"/>
      <c r="AS96" s="335"/>
      <c r="AT96" s="335"/>
      <c r="AU96" s="335"/>
      <c r="AV96" s="335"/>
      <c r="AW96" s="335"/>
      <c r="AX96" s="335"/>
      <c r="AY96" s="335"/>
      <c r="AZ96" s="335"/>
    </row>
    <row r="97" spans="1:52" ht="15.75" customHeight="1">
      <c r="A97" s="339"/>
      <c r="B97" s="336">
        <v>28</v>
      </c>
      <c r="C97" s="338">
        <v>1130</v>
      </c>
      <c r="D97" s="337">
        <v>850</v>
      </c>
      <c r="E97" s="339"/>
      <c r="F97" s="338">
        <v>940</v>
      </c>
      <c r="G97" s="337">
        <v>710</v>
      </c>
      <c r="H97" s="339"/>
      <c r="I97" s="338">
        <v>1470</v>
      </c>
      <c r="J97" s="337">
        <v>1880</v>
      </c>
      <c r="K97" s="337">
        <v>2600</v>
      </c>
      <c r="L97" s="337">
        <v>1130</v>
      </c>
      <c r="M97" s="336">
        <v>28</v>
      </c>
      <c r="N97" s="335"/>
      <c r="O97" s="335"/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  <c r="AJ97" s="335"/>
      <c r="AK97" s="335"/>
      <c r="AL97" s="335"/>
      <c r="AM97" s="335"/>
      <c r="AN97" s="335"/>
      <c r="AO97" s="335"/>
      <c r="AP97" s="335"/>
      <c r="AQ97" s="335"/>
      <c r="AR97" s="335"/>
      <c r="AS97" s="335"/>
      <c r="AT97" s="335"/>
      <c r="AU97" s="335"/>
      <c r="AV97" s="335"/>
      <c r="AW97" s="335"/>
      <c r="AX97" s="335"/>
      <c r="AY97" s="335"/>
      <c r="AZ97" s="335"/>
    </row>
    <row r="98" spans="1:52" ht="15.75" customHeight="1">
      <c r="A98" s="339"/>
      <c r="B98" s="336">
        <v>32</v>
      </c>
      <c r="C98" s="338">
        <v>1300</v>
      </c>
      <c r="D98" s="337">
        <v>980</v>
      </c>
      <c r="E98" s="339"/>
      <c r="F98" s="338">
        <v>1080</v>
      </c>
      <c r="G98" s="337">
        <v>810</v>
      </c>
      <c r="H98" s="339"/>
      <c r="I98" s="338">
        <v>1690</v>
      </c>
      <c r="J98" s="337">
        <v>2160</v>
      </c>
      <c r="K98" s="337">
        <v>2990</v>
      </c>
      <c r="L98" s="337">
        <v>1300</v>
      </c>
      <c r="M98" s="336">
        <v>32</v>
      </c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  <c r="AA98" s="335"/>
      <c r="AB98" s="335"/>
      <c r="AC98" s="335"/>
      <c r="AD98" s="335"/>
      <c r="AE98" s="335"/>
      <c r="AF98" s="335"/>
      <c r="AG98" s="335"/>
      <c r="AH98" s="335"/>
      <c r="AI98" s="335"/>
      <c r="AJ98" s="335"/>
      <c r="AK98" s="335"/>
      <c r="AL98" s="335"/>
      <c r="AM98" s="335"/>
      <c r="AN98" s="335"/>
      <c r="AO98" s="335"/>
      <c r="AP98" s="335"/>
      <c r="AQ98" s="335"/>
      <c r="AR98" s="335"/>
      <c r="AS98" s="335"/>
      <c r="AT98" s="335"/>
      <c r="AU98" s="335"/>
      <c r="AV98" s="335"/>
      <c r="AW98" s="335"/>
      <c r="AX98" s="335"/>
      <c r="AY98" s="335"/>
      <c r="AZ98" s="335"/>
    </row>
    <row r="99" spans="1:52" ht="15.75" customHeight="1">
      <c r="A99" s="339"/>
      <c r="B99" s="336">
        <v>36</v>
      </c>
      <c r="C99" s="338">
        <v>1610</v>
      </c>
      <c r="D99" s="337">
        <v>1210</v>
      </c>
      <c r="E99" s="339"/>
      <c r="F99" s="338">
        <v>1340</v>
      </c>
      <c r="G99" s="337">
        <v>1010</v>
      </c>
      <c r="H99" s="339"/>
      <c r="I99" s="338">
        <v>2100</v>
      </c>
      <c r="J99" s="337">
        <v>2680</v>
      </c>
      <c r="K99" s="337">
        <v>3710</v>
      </c>
      <c r="L99" s="337">
        <v>1610</v>
      </c>
      <c r="M99" s="336">
        <v>36</v>
      </c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  <c r="AA99" s="335"/>
      <c r="AB99" s="335"/>
      <c r="AC99" s="335"/>
      <c r="AD99" s="335"/>
      <c r="AE99" s="335"/>
      <c r="AF99" s="335"/>
      <c r="AG99" s="335"/>
      <c r="AH99" s="335"/>
      <c r="AI99" s="335"/>
      <c r="AJ99" s="335"/>
      <c r="AK99" s="335"/>
      <c r="AL99" s="335"/>
      <c r="AM99" s="335"/>
      <c r="AN99" s="335"/>
      <c r="AO99" s="335"/>
      <c r="AP99" s="335"/>
      <c r="AQ99" s="335"/>
      <c r="AR99" s="335"/>
      <c r="AS99" s="335"/>
      <c r="AT99" s="335"/>
      <c r="AU99" s="335"/>
      <c r="AV99" s="335"/>
      <c r="AW99" s="335"/>
      <c r="AX99" s="335"/>
      <c r="AY99" s="335"/>
      <c r="AZ99" s="335"/>
    </row>
    <row r="100" spans="1:52" ht="15.7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5"/>
      <c r="N100" s="335"/>
      <c r="O100" s="335"/>
      <c r="P100" s="335"/>
      <c r="Q100" s="335"/>
      <c r="R100" s="335"/>
      <c r="S100" s="335"/>
      <c r="T100" s="335"/>
      <c r="U100" s="335"/>
      <c r="V100" s="335"/>
      <c r="W100" s="335"/>
      <c r="X100" s="335"/>
      <c r="Y100" s="335"/>
      <c r="Z100" s="335"/>
      <c r="AA100" s="335"/>
      <c r="AB100" s="335"/>
      <c r="AC100" s="335"/>
      <c r="AD100" s="335"/>
      <c r="AE100" s="335"/>
      <c r="AF100" s="335"/>
      <c r="AG100" s="335"/>
      <c r="AH100" s="335"/>
      <c r="AI100" s="335"/>
      <c r="AJ100" s="335"/>
      <c r="AK100" s="335"/>
      <c r="AL100" s="335"/>
      <c r="AM100" s="335"/>
      <c r="AN100" s="335"/>
      <c r="AO100" s="335"/>
      <c r="AP100" s="335"/>
      <c r="AQ100" s="335"/>
      <c r="AR100" s="335"/>
      <c r="AS100" s="335"/>
      <c r="AT100" s="335"/>
      <c r="AU100" s="335"/>
      <c r="AV100" s="335"/>
      <c r="AW100" s="335"/>
      <c r="AX100" s="335"/>
      <c r="AY100" s="335"/>
      <c r="AZ100" s="335"/>
    </row>
    <row r="101" spans="1:52" ht="15.75" customHeight="1">
      <c r="A101" s="339"/>
      <c r="B101" s="339"/>
      <c r="C101" s="671" t="s">
        <v>306</v>
      </c>
      <c r="D101" s="654"/>
      <c r="E101" s="352"/>
      <c r="F101" s="671" t="s">
        <v>305</v>
      </c>
      <c r="G101" s="654"/>
      <c r="H101" s="339"/>
      <c r="I101" s="671" t="s">
        <v>304</v>
      </c>
      <c r="J101" s="653"/>
      <c r="K101" s="653"/>
      <c r="L101" s="654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  <c r="AA101" s="335"/>
      <c r="AB101" s="335"/>
      <c r="AC101" s="335"/>
      <c r="AD101" s="335"/>
      <c r="AE101" s="335"/>
      <c r="AF101" s="335"/>
      <c r="AG101" s="335"/>
      <c r="AH101" s="335"/>
      <c r="AI101" s="335"/>
      <c r="AJ101" s="335"/>
      <c r="AK101" s="335"/>
      <c r="AL101" s="335"/>
      <c r="AM101" s="335"/>
      <c r="AN101" s="335"/>
      <c r="AO101" s="335"/>
      <c r="AP101" s="335"/>
      <c r="AQ101" s="335"/>
      <c r="AR101" s="335"/>
      <c r="AS101" s="335"/>
      <c r="AT101" s="335"/>
      <c r="AU101" s="335"/>
      <c r="AV101" s="335"/>
      <c r="AW101" s="335"/>
      <c r="AX101" s="335"/>
      <c r="AY101" s="335"/>
      <c r="AZ101" s="335"/>
    </row>
    <row r="102" spans="1:52" ht="21" customHeight="1">
      <c r="A102" s="339"/>
      <c r="B102" s="668" t="s">
        <v>298</v>
      </c>
      <c r="C102" s="351" t="s">
        <v>303</v>
      </c>
      <c r="D102" s="350" t="s">
        <v>302</v>
      </c>
      <c r="E102" s="345"/>
      <c r="F102" s="351" t="s">
        <v>303</v>
      </c>
      <c r="G102" s="350" t="s">
        <v>302</v>
      </c>
      <c r="H102" s="349"/>
      <c r="I102" s="348" t="s">
        <v>299</v>
      </c>
      <c r="J102" s="347" t="s">
        <v>301</v>
      </c>
      <c r="K102" s="347" t="s">
        <v>300</v>
      </c>
      <c r="L102" s="346" t="s">
        <v>299</v>
      </c>
      <c r="M102" s="668" t="s">
        <v>298</v>
      </c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335"/>
      <c r="AB102" s="335"/>
      <c r="AC102" s="335"/>
      <c r="AD102" s="335"/>
      <c r="AE102" s="335"/>
      <c r="AF102" s="335"/>
      <c r="AG102" s="335"/>
      <c r="AH102" s="335"/>
      <c r="AI102" s="335"/>
      <c r="AJ102" s="335"/>
      <c r="AK102" s="335"/>
      <c r="AL102" s="335"/>
      <c r="AM102" s="335"/>
      <c r="AN102" s="335"/>
      <c r="AO102" s="335"/>
      <c r="AP102" s="335"/>
      <c r="AQ102" s="335"/>
      <c r="AR102" s="335"/>
      <c r="AS102" s="335"/>
      <c r="AT102" s="335"/>
      <c r="AU102" s="335"/>
      <c r="AV102" s="335"/>
      <c r="AW102" s="335"/>
      <c r="AX102" s="335"/>
      <c r="AY102" s="335"/>
      <c r="AZ102" s="335"/>
    </row>
    <row r="103" spans="1:52" ht="13.5" customHeight="1">
      <c r="A103" s="339"/>
      <c r="B103" s="650"/>
      <c r="H103" s="345"/>
      <c r="I103" s="343">
        <v>0.5</v>
      </c>
      <c r="J103" s="344">
        <v>1</v>
      </c>
      <c r="K103" s="344">
        <v>0.5</v>
      </c>
      <c r="L103" s="343">
        <v>1</v>
      </c>
      <c r="M103" s="650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5"/>
      <c r="AB103" s="335"/>
      <c r="AC103" s="335"/>
      <c r="AD103" s="335"/>
      <c r="AE103" s="335"/>
      <c r="AF103" s="335"/>
      <c r="AG103" s="335"/>
      <c r="AH103" s="335"/>
      <c r="AI103" s="335"/>
      <c r="AJ103" s="335"/>
      <c r="AK103" s="335"/>
      <c r="AL103" s="335"/>
      <c r="AM103" s="335"/>
      <c r="AN103" s="335"/>
      <c r="AO103" s="335"/>
      <c r="AP103" s="335"/>
      <c r="AQ103" s="335"/>
      <c r="AR103" s="335"/>
      <c r="AS103" s="335"/>
      <c r="AT103" s="335"/>
      <c r="AU103" s="335"/>
      <c r="AV103" s="335"/>
      <c r="AW103" s="335"/>
      <c r="AX103" s="335"/>
      <c r="AY103" s="335"/>
      <c r="AZ103" s="335"/>
    </row>
    <row r="104" spans="1:52" ht="15.75" customHeight="1">
      <c r="A104" s="339"/>
      <c r="B104" s="651"/>
      <c r="C104" s="342" t="s">
        <v>291</v>
      </c>
      <c r="D104" s="342" t="s">
        <v>297</v>
      </c>
      <c r="E104" s="342"/>
      <c r="F104" s="342" t="s">
        <v>296</v>
      </c>
      <c r="G104" s="342" t="s">
        <v>295</v>
      </c>
      <c r="H104" s="342"/>
      <c r="I104" s="341" t="s">
        <v>294</v>
      </c>
      <c r="J104" s="341" t="s">
        <v>293</v>
      </c>
      <c r="K104" s="341" t="s">
        <v>292</v>
      </c>
      <c r="L104" s="341" t="s">
        <v>291</v>
      </c>
      <c r="M104" s="651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5"/>
      <c r="AB104" s="335"/>
      <c r="AC104" s="335"/>
      <c r="AD104" s="335"/>
      <c r="AE104" s="335"/>
      <c r="AF104" s="335"/>
      <c r="AG104" s="335"/>
      <c r="AH104" s="335"/>
      <c r="AI104" s="335"/>
      <c r="AJ104" s="335"/>
      <c r="AK104" s="335"/>
      <c r="AL104" s="335"/>
      <c r="AM104" s="335"/>
      <c r="AN104" s="335"/>
      <c r="AO104" s="335"/>
      <c r="AP104" s="335"/>
      <c r="AQ104" s="335"/>
      <c r="AR104" s="335"/>
      <c r="AS104" s="335"/>
      <c r="AT104" s="335"/>
      <c r="AU104" s="335"/>
      <c r="AV104" s="335"/>
      <c r="AW104" s="335"/>
      <c r="AX104" s="335"/>
      <c r="AY104" s="335"/>
      <c r="AZ104" s="335"/>
    </row>
    <row r="105" spans="1:52" ht="15.75" customHeight="1">
      <c r="A105" s="339"/>
      <c r="B105" s="336">
        <v>10</v>
      </c>
      <c r="C105" s="338">
        <v>390</v>
      </c>
      <c r="D105" s="337">
        <v>290</v>
      </c>
      <c r="E105" s="339"/>
      <c r="F105" s="338">
        <v>320</v>
      </c>
      <c r="G105" s="337">
        <v>240</v>
      </c>
      <c r="H105" s="339"/>
      <c r="I105" s="338">
        <v>510</v>
      </c>
      <c r="J105" s="337">
        <v>640</v>
      </c>
      <c r="K105" s="337">
        <v>900</v>
      </c>
      <c r="L105" s="337">
        <v>390</v>
      </c>
      <c r="M105" s="336">
        <v>10</v>
      </c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  <c r="AA105" s="335"/>
      <c r="AB105" s="335"/>
      <c r="AC105" s="335"/>
      <c r="AD105" s="335"/>
      <c r="AE105" s="335"/>
      <c r="AF105" s="335"/>
      <c r="AG105" s="335"/>
      <c r="AH105" s="335"/>
      <c r="AI105" s="335"/>
      <c r="AJ105" s="335"/>
      <c r="AK105" s="335"/>
      <c r="AL105" s="335"/>
      <c r="AM105" s="335"/>
      <c r="AN105" s="335"/>
      <c r="AO105" s="335"/>
      <c r="AP105" s="335"/>
      <c r="AQ105" s="335"/>
      <c r="AR105" s="335"/>
      <c r="AS105" s="335"/>
      <c r="AT105" s="335"/>
      <c r="AU105" s="335"/>
      <c r="AV105" s="335"/>
      <c r="AW105" s="335"/>
      <c r="AX105" s="335"/>
      <c r="AY105" s="335"/>
      <c r="AZ105" s="335"/>
    </row>
    <row r="106" spans="1:52" ht="15.75" customHeight="1">
      <c r="A106" s="339"/>
      <c r="B106" s="336">
        <v>12</v>
      </c>
      <c r="C106" s="338">
        <v>460</v>
      </c>
      <c r="D106" s="337">
        <v>350</v>
      </c>
      <c r="E106" s="339"/>
      <c r="F106" s="338">
        <v>380</v>
      </c>
      <c r="G106" s="337">
        <v>290</v>
      </c>
      <c r="H106" s="339"/>
      <c r="I106" s="338">
        <v>600</v>
      </c>
      <c r="J106" s="337">
        <v>760</v>
      </c>
      <c r="K106" s="337">
        <v>1060</v>
      </c>
      <c r="L106" s="337">
        <v>460</v>
      </c>
      <c r="M106" s="336">
        <v>12</v>
      </c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  <c r="AA106" s="335"/>
      <c r="AB106" s="335"/>
      <c r="AC106" s="335"/>
      <c r="AD106" s="335"/>
      <c r="AE106" s="335"/>
      <c r="AF106" s="335"/>
      <c r="AG106" s="335"/>
      <c r="AH106" s="335"/>
      <c r="AI106" s="335"/>
      <c r="AJ106" s="335"/>
      <c r="AK106" s="335"/>
      <c r="AL106" s="335"/>
      <c r="AM106" s="335"/>
      <c r="AN106" s="335"/>
      <c r="AO106" s="335"/>
      <c r="AP106" s="335"/>
      <c r="AQ106" s="335"/>
      <c r="AR106" s="335"/>
      <c r="AS106" s="335"/>
      <c r="AT106" s="335"/>
      <c r="AU106" s="335"/>
      <c r="AV106" s="335"/>
      <c r="AW106" s="335"/>
      <c r="AX106" s="335"/>
      <c r="AY106" s="335"/>
      <c r="AZ106" s="335"/>
    </row>
    <row r="107" spans="1:52" ht="15.75" customHeight="1">
      <c r="A107" s="339"/>
      <c r="B107" s="336">
        <v>16</v>
      </c>
      <c r="C107" s="338">
        <v>600</v>
      </c>
      <c r="D107" s="337">
        <v>450</v>
      </c>
      <c r="E107" s="339"/>
      <c r="F107" s="338">
        <v>500</v>
      </c>
      <c r="G107" s="337">
        <v>380</v>
      </c>
      <c r="H107" s="339"/>
      <c r="I107" s="338">
        <v>780</v>
      </c>
      <c r="J107" s="337">
        <v>1000</v>
      </c>
      <c r="K107" s="337">
        <v>1380</v>
      </c>
      <c r="L107" s="337">
        <v>600</v>
      </c>
      <c r="M107" s="336">
        <v>16</v>
      </c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  <c r="AA107" s="335"/>
      <c r="AB107" s="335"/>
      <c r="AC107" s="335"/>
      <c r="AD107" s="335"/>
      <c r="AE107" s="335"/>
      <c r="AF107" s="335"/>
      <c r="AG107" s="335"/>
      <c r="AH107" s="335"/>
      <c r="AI107" s="335"/>
      <c r="AJ107" s="335"/>
      <c r="AK107" s="335"/>
      <c r="AL107" s="335"/>
      <c r="AM107" s="335"/>
      <c r="AN107" s="335"/>
      <c r="AO107" s="335"/>
      <c r="AP107" s="335"/>
      <c r="AQ107" s="335"/>
      <c r="AR107" s="335"/>
      <c r="AS107" s="335"/>
      <c r="AT107" s="335"/>
      <c r="AU107" s="335"/>
      <c r="AV107" s="335"/>
      <c r="AW107" s="335"/>
      <c r="AX107" s="335"/>
      <c r="AY107" s="335"/>
      <c r="AZ107" s="335"/>
    </row>
    <row r="108" spans="1:52" ht="15.75" customHeight="1">
      <c r="A108" s="340" t="s">
        <v>80</v>
      </c>
      <c r="B108" s="336">
        <v>20</v>
      </c>
      <c r="C108" s="338">
        <v>760</v>
      </c>
      <c r="D108" s="337">
        <v>570</v>
      </c>
      <c r="E108" s="339"/>
      <c r="F108" s="338">
        <v>630</v>
      </c>
      <c r="G108" s="337">
        <v>480</v>
      </c>
      <c r="H108" s="339"/>
      <c r="I108" s="338">
        <v>990</v>
      </c>
      <c r="J108" s="337">
        <v>1260</v>
      </c>
      <c r="K108" s="337">
        <v>1750</v>
      </c>
      <c r="L108" s="337">
        <v>760</v>
      </c>
      <c r="M108" s="336">
        <v>20</v>
      </c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335"/>
      <c r="AB108" s="335"/>
      <c r="AC108" s="335"/>
      <c r="AD108" s="335"/>
      <c r="AE108" s="335"/>
      <c r="AF108" s="335"/>
      <c r="AG108" s="335"/>
      <c r="AH108" s="335"/>
      <c r="AI108" s="335"/>
      <c r="AJ108" s="335"/>
      <c r="AK108" s="335"/>
      <c r="AL108" s="335"/>
      <c r="AM108" s="335"/>
      <c r="AN108" s="335"/>
      <c r="AO108" s="335"/>
      <c r="AP108" s="335"/>
      <c r="AQ108" s="335"/>
      <c r="AR108" s="335"/>
      <c r="AS108" s="335"/>
      <c r="AT108" s="335"/>
      <c r="AU108" s="335"/>
      <c r="AV108" s="335"/>
      <c r="AW108" s="335"/>
      <c r="AX108" s="335"/>
      <c r="AY108" s="335"/>
      <c r="AZ108" s="335"/>
    </row>
    <row r="109" spans="1:52" ht="15.75" customHeight="1">
      <c r="A109" s="336" t="s">
        <v>290</v>
      </c>
      <c r="B109" s="336">
        <v>25</v>
      </c>
      <c r="C109" s="338">
        <v>940</v>
      </c>
      <c r="D109" s="337">
        <v>710</v>
      </c>
      <c r="E109" s="339"/>
      <c r="F109" s="338">
        <v>780</v>
      </c>
      <c r="G109" s="337">
        <v>590</v>
      </c>
      <c r="H109" s="339"/>
      <c r="I109" s="338">
        <v>1230</v>
      </c>
      <c r="J109" s="337">
        <v>1560</v>
      </c>
      <c r="K109" s="337">
        <v>2170</v>
      </c>
      <c r="L109" s="337">
        <v>940</v>
      </c>
      <c r="M109" s="336">
        <v>25</v>
      </c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  <c r="AA109" s="335"/>
      <c r="AB109" s="335"/>
      <c r="AC109" s="335"/>
      <c r="AD109" s="335"/>
      <c r="AE109" s="335"/>
      <c r="AF109" s="335"/>
      <c r="AG109" s="335"/>
      <c r="AH109" s="335"/>
      <c r="AI109" s="335"/>
      <c r="AJ109" s="335"/>
      <c r="AK109" s="335"/>
      <c r="AL109" s="335"/>
      <c r="AM109" s="335"/>
      <c r="AN109" s="335"/>
      <c r="AO109" s="335"/>
      <c r="AP109" s="335"/>
      <c r="AQ109" s="335"/>
      <c r="AR109" s="335"/>
      <c r="AS109" s="335"/>
      <c r="AT109" s="335"/>
      <c r="AU109" s="335"/>
      <c r="AV109" s="335"/>
      <c r="AW109" s="335"/>
      <c r="AX109" s="335"/>
      <c r="AY109" s="335"/>
      <c r="AZ109" s="335"/>
    </row>
    <row r="110" spans="1:52" ht="15.75" customHeight="1">
      <c r="A110" s="339"/>
      <c r="B110" s="336">
        <v>28</v>
      </c>
      <c r="C110" s="338">
        <v>1050</v>
      </c>
      <c r="D110" s="337">
        <v>790</v>
      </c>
      <c r="E110" s="339"/>
      <c r="F110" s="338">
        <v>870</v>
      </c>
      <c r="G110" s="337">
        <v>660</v>
      </c>
      <c r="H110" s="339"/>
      <c r="I110" s="338">
        <v>1370</v>
      </c>
      <c r="J110" s="337">
        <v>1740</v>
      </c>
      <c r="K110" s="337">
        <v>2420</v>
      </c>
      <c r="L110" s="337">
        <v>1050</v>
      </c>
      <c r="M110" s="336">
        <v>28</v>
      </c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  <c r="AA110" s="335"/>
      <c r="AB110" s="335"/>
      <c r="AC110" s="335"/>
      <c r="AD110" s="335"/>
      <c r="AE110" s="335"/>
      <c r="AF110" s="335"/>
      <c r="AG110" s="335"/>
      <c r="AH110" s="335"/>
      <c r="AI110" s="335"/>
      <c r="AJ110" s="335"/>
      <c r="AK110" s="335"/>
      <c r="AL110" s="335"/>
      <c r="AM110" s="335"/>
      <c r="AN110" s="335"/>
      <c r="AO110" s="335"/>
      <c r="AP110" s="335"/>
      <c r="AQ110" s="335"/>
      <c r="AR110" s="335"/>
      <c r="AS110" s="335"/>
      <c r="AT110" s="335"/>
      <c r="AU110" s="335"/>
      <c r="AV110" s="335"/>
      <c r="AW110" s="335"/>
      <c r="AX110" s="335"/>
      <c r="AY110" s="335"/>
      <c r="AZ110" s="335"/>
    </row>
    <row r="111" spans="1:52" ht="15.75" customHeight="1">
      <c r="A111" s="339"/>
      <c r="B111" s="336">
        <v>32</v>
      </c>
      <c r="C111" s="338">
        <v>1200</v>
      </c>
      <c r="D111" s="337">
        <v>900</v>
      </c>
      <c r="E111" s="339"/>
      <c r="F111" s="338">
        <v>1000</v>
      </c>
      <c r="G111" s="337">
        <v>750</v>
      </c>
      <c r="H111" s="339"/>
      <c r="I111" s="338">
        <v>1560</v>
      </c>
      <c r="J111" s="337">
        <v>2000</v>
      </c>
      <c r="K111" s="337">
        <v>2760</v>
      </c>
      <c r="L111" s="337">
        <v>1200</v>
      </c>
      <c r="M111" s="336">
        <v>32</v>
      </c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5"/>
      <c r="AB111" s="335"/>
      <c r="AC111" s="335"/>
      <c r="AD111" s="335"/>
      <c r="AE111" s="335"/>
      <c r="AF111" s="335"/>
      <c r="AG111" s="335"/>
      <c r="AH111" s="335"/>
      <c r="AI111" s="335"/>
      <c r="AJ111" s="335"/>
      <c r="AK111" s="335"/>
      <c r="AL111" s="335"/>
      <c r="AM111" s="335"/>
      <c r="AN111" s="335"/>
      <c r="AO111" s="335"/>
      <c r="AP111" s="335"/>
      <c r="AQ111" s="335"/>
      <c r="AR111" s="335"/>
      <c r="AS111" s="335"/>
      <c r="AT111" s="335"/>
      <c r="AU111" s="335"/>
      <c r="AV111" s="335"/>
      <c r="AW111" s="335"/>
      <c r="AX111" s="335"/>
      <c r="AY111" s="335"/>
      <c r="AZ111" s="335"/>
    </row>
    <row r="112" spans="1:52" ht="15.75" customHeight="1">
      <c r="A112" s="339"/>
      <c r="B112" s="336">
        <v>36</v>
      </c>
      <c r="C112" s="338">
        <v>1500</v>
      </c>
      <c r="D112" s="337">
        <v>1130</v>
      </c>
      <c r="E112" s="339"/>
      <c r="F112" s="338">
        <v>1250</v>
      </c>
      <c r="G112" s="337">
        <v>940</v>
      </c>
      <c r="H112" s="339"/>
      <c r="I112" s="338">
        <v>1950</v>
      </c>
      <c r="J112" s="337">
        <v>2500</v>
      </c>
      <c r="K112" s="337">
        <v>3450</v>
      </c>
      <c r="L112" s="337">
        <v>1500</v>
      </c>
      <c r="M112" s="336">
        <v>36</v>
      </c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5"/>
      <c r="AB112" s="335"/>
      <c r="AC112" s="335"/>
      <c r="AD112" s="335"/>
      <c r="AE112" s="335"/>
      <c r="AF112" s="335"/>
      <c r="AG112" s="335"/>
      <c r="AH112" s="335"/>
      <c r="AI112" s="335"/>
      <c r="AJ112" s="335"/>
      <c r="AK112" s="335"/>
      <c r="AL112" s="335"/>
      <c r="AM112" s="335"/>
      <c r="AN112" s="335"/>
      <c r="AO112" s="335"/>
      <c r="AP112" s="335"/>
      <c r="AQ112" s="335"/>
      <c r="AR112" s="335"/>
      <c r="AS112" s="335"/>
      <c r="AT112" s="335"/>
      <c r="AU112" s="335"/>
      <c r="AV112" s="335"/>
      <c r="AW112" s="335"/>
      <c r="AX112" s="335"/>
      <c r="AY112" s="335"/>
      <c r="AZ112" s="335"/>
    </row>
    <row r="113" spans="1:52" ht="15.75" customHeight="1">
      <c r="A113" s="335"/>
      <c r="B113" s="335"/>
      <c r="C113" s="335"/>
      <c r="D113" s="335"/>
      <c r="E113" s="335"/>
      <c r="F113" s="335"/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  <c r="AA113" s="335"/>
      <c r="AB113" s="335"/>
      <c r="AC113" s="335"/>
      <c r="AD113" s="335"/>
      <c r="AE113" s="335"/>
      <c r="AF113" s="335"/>
      <c r="AG113" s="335"/>
      <c r="AH113" s="335"/>
      <c r="AI113" s="335"/>
      <c r="AJ113" s="335"/>
      <c r="AK113" s="335"/>
      <c r="AL113" s="335"/>
      <c r="AM113" s="335"/>
      <c r="AN113" s="335"/>
      <c r="AO113" s="335"/>
      <c r="AP113" s="335"/>
      <c r="AQ113" s="335"/>
      <c r="AR113" s="335"/>
      <c r="AS113" s="335"/>
      <c r="AT113" s="335"/>
      <c r="AU113" s="335"/>
      <c r="AV113" s="335"/>
      <c r="AW113" s="335"/>
      <c r="AX113" s="335"/>
      <c r="AY113" s="335"/>
      <c r="AZ113" s="335"/>
    </row>
    <row r="114" spans="1:52" ht="15.75" customHeight="1">
      <c r="A114" s="335"/>
      <c r="B114" s="335"/>
      <c r="C114" s="335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5"/>
      <c r="AB114" s="335"/>
      <c r="AC114" s="335"/>
      <c r="AD114" s="335"/>
      <c r="AE114" s="335"/>
      <c r="AF114" s="335"/>
      <c r="AG114" s="335"/>
      <c r="AH114" s="335"/>
      <c r="AI114" s="335"/>
      <c r="AJ114" s="335"/>
      <c r="AK114" s="335"/>
      <c r="AL114" s="335"/>
      <c r="AM114" s="335"/>
      <c r="AN114" s="335"/>
      <c r="AO114" s="335"/>
      <c r="AP114" s="335"/>
      <c r="AQ114" s="335"/>
      <c r="AR114" s="335"/>
      <c r="AS114" s="335"/>
      <c r="AT114" s="335"/>
      <c r="AU114" s="335"/>
      <c r="AV114" s="335"/>
      <c r="AW114" s="335"/>
      <c r="AX114" s="335"/>
      <c r="AY114" s="335"/>
      <c r="AZ114" s="335"/>
    </row>
    <row r="115" spans="1:52" ht="15.75" customHeight="1">
      <c r="A115" s="335"/>
      <c r="B115" s="335"/>
      <c r="C115" s="335"/>
      <c r="D115" s="335"/>
      <c r="E115" s="335"/>
      <c r="F115" s="335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  <c r="AA115" s="335"/>
      <c r="AB115" s="335"/>
      <c r="AC115" s="335"/>
      <c r="AD115" s="335"/>
      <c r="AE115" s="335"/>
      <c r="AF115" s="335"/>
      <c r="AG115" s="335"/>
      <c r="AH115" s="335"/>
      <c r="AI115" s="335"/>
      <c r="AJ115" s="335"/>
      <c r="AK115" s="335"/>
      <c r="AL115" s="335"/>
      <c r="AM115" s="335"/>
      <c r="AN115" s="335"/>
      <c r="AO115" s="335"/>
      <c r="AP115" s="335"/>
      <c r="AQ115" s="335"/>
      <c r="AR115" s="335"/>
      <c r="AS115" s="335"/>
      <c r="AT115" s="335"/>
      <c r="AU115" s="335"/>
      <c r="AV115" s="335"/>
      <c r="AW115" s="335"/>
      <c r="AX115" s="335"/>
      <c r="AY115" s="335"/>
      <c r="AZ115" s="335"/>
    </row>
    <row r="116" spans="1:52" ht="15.75" customHeight="1">
      <c r="A116" s="335"/>
      <c r="B116" s="335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5"/>
      <c r="AB116" s="335"/>
      <c r="AC116" s="335"/>
      <c r="AD116" s="335"/>
      <c r="AE116" s="335"/>
      <c r="AF116" s="335"/>
      <c r="AG116" s="335"/>
      <c r="AH116" s="335"/>
      <c r="AI116" s="335"/>
      <c r="AJ116" s="335"/>
      <c r="AK116" s="335"/>
      <c r="AL116" s="335"/>
      <c r="AM116" s="335"/>
      <c r="AN116" s="335"/>
      <c r="AO116" s="335"/>
      <c r="AP116" s="335"/>
      <c r="AQ116" s="335"/>
      <c r="AR116" s="335"/>
      <c r="AS116" s="335"/>
      <c r="AT116" s="335"/>
      <c r="AU116" s="335"/>
      <c r="AV116" s="335"/>
      <c r="AW116" s="335"/>
      <c r="AX116" s="335"/>
      <c r="AY116" s="335"/>
      <c r="AZ116" s="335"/>
    </row>
    <row r="117" spans="1:52" ht="15.75" customHeight="1">
      <c r="A117" s="335"/>
      <c r="B117" s="335"/>
      <c r="C117" s="335"/>
      <c r="D117" s="335"/>
      <c r="E117" s="335"/>
      <c r="F117" s="335"/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5"/>
      <c r="AB117" s="335"/>
      <c r="AC117" s="335"/>
      <c r="AD117" s="335"/>
      <c r="AE117" s="335"/>
      <c r="AF117" s="335"/>
      <c r="AG117" s="335"/>
      <c r="AH117" s="335"/>
      <c r="AI117" s="335"/>
      <c r="AJ117" s="335"/>
      <c r="AK117" s="335"/>
      <c r="AL117" s="335"/>
      <c r="AM117" s="335"/>
      <c r="AN117" s="335"/>
      <c r="AO117" s="335"/>
      <c r="AP117" s="335"/>
      <c r="AQ117" s="335"/>
      <c r="AR117" s="335"/>
      <c r="AS117" s="335"/>
      <c r="AT117" s="335"/>
      <c r="AU117" s="335"/>
      <c r="AV117" s="335"/>
      <c r="AW117" s="335"/>
      <c r="AX117" s="335"/>
      <c r="AY117" s="335"/>
      <c r="AZ117" s="335"/>
    </row>
    <row r="118" spans="1:52" ht="15.75" customHeight="1">
      <c r="A118" s="335"/>
      <c r="B118" s="335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5"/>
      <c r="AB118" s="335"/>
      <c r="AC118" s="335"/>
      <c r="AD118" s="335"/>
      <c r="AE118" s="335"/>
      <c r="AF118" s="335"/>
      <c r="AG118" s="335"/>
      <c r="AH118" s="335"/>
      <c r="AI118" s="335"/>
      <c r="AJ118" s="335"/>
      <c r="AK118" s="335"/>
      <c r="AL118" s="335"/>
      <c r="AM118" s="335"/>
      <c r="AN118" s="335"/>
      <c r="AO118" s="335"/>
      <c r="AP118" s="335"/>
      <c r="AQ118" s="335"/>
      <c r="AR118" s="335"/>
      <c r="AS118" s="335"/>
      <c r="AT118" s="335"/>
      <c r="AU118" s="335"/>
      <c r="AV118" s="335"/>
      <c r="AW118" s="335"/>
      <c r="AX118" s="335"/>
      <c r="AY118" s="335"/>
      <c r="AZ118" s="335"/>
    </row>
    <row r="119" spans="1:52" ht="15.75" customHeight="1">
      <c r="A119" s="335"/>
      <c r="B119" s="335"/>
      <c r="C119" s="335"/>
      <c r="D119" s="335"/>
      <c r="E119" s="335"/>
      <c r="F119" s="335"/>
      <c r="G119" s="335"/>
      <c r="H119" s="335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  <c r="AA119" s="335"/>
      <c r="AB119" s="335"/>
      <c r="AC119" s="335"/>
      <c r="AD119" s="335"/>
      <c r="AE119" s="335"/>
      <c r="AF119" s="335"/>
      <c r="AG119" s="335"/>
      <c r="AH119" s="335"/>
      <c r="AI119" s="335"/>
      <c r="AJ119" s="335"/>
      <c r="AK119" s="335"/>
      <c r="AL119" s="335"/>
      <c r="AM119" s="335"/>
      <c r="AN119" s="335"/>
      <c r="AO119" s="335"/>
      <c r="AP119" s="335"/>
      <c r="AQ119" s="335"/>
      <c r="AR119" s="335"/>
      <c r="AS119" s="335"/>
      <c r="AT119" s="335"/>
      <c r="AU119" s="335"/>
      <c r="AV119" s="335"/>
      <c r="AW119" s="335"/>
      <c r="AX119" s="335"/>
      <c r="AY119" s="335"/>
      <c r="AZ119" s="335"/>
    </row>
    <row r="120" spans="1:52" ht="15.75" customHeight="1">
      <c r="A120" s="335"/>
      <c r="B120" s="335"/>
      <c r="C120" s="335"/>
      <c r="D120" s="335"/>
      <c r="E120" s="335"/>
      <c r="F120" s="335"/>
      <c r="G120" s="335"/>
      <c r="H120" s="335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  <c r="AA120" s="335"/>
      <c r="AB120" s="335"/>
      <c r="AC120" s="335"/>
      <c r="AD120" s="335"/>
      <c r="AE120" s="335"/>
      <c r="AF120" s="335"/>
      <c r="AG120" s="335"/>
      <c r="AH120" s="335"/>
      <c r="AI120" s="335"/>
      <c r="AJ120" s="335"/>
      <c r="AK120" s="335"/>
      <c r="AL120" s="335"/>
      <c r="AM120" s="335"/>
      <c r="AN120" s="335"/>
      <c r="AO120" s="335"/>
      <c r="AP120" s="335"/>
      <c r="AQ120" s="335"/>
      <c r="AR120" s="335"/>
      <c r="AS120" s="335"/>
      <c r="AT120" s="335"/>
      <c r="AU120" s="335"/>
      <c r="AV120" s="335"/>
      <c r="AW120" s="335"/>
      <c r="AX120" s="335"/>
      <c r="AY120" s="335"/>
      <c r="AZ120" s="335"/>
    </row>
    <row r="121" spans="1:52" ht="15.75" customHeight="1">
      <c r="A121" s="335"/>
      <c r="B121" s="335"/>
      <c r="C121" s="335"/>
      <c r="D121" s="335"/>
      <c r="E121" s="335"/>
      <c r="F121" s="335"/>
      <c r="G121" s="335"/>
      <c r="H121" s="335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  <c r="AA121" s="335"/>
      <c r="AB121" s="335"/>
      <c r="AC121" s="335"/>
      <c r="AD121" s="335"/>
      <c r="AE121" s="335"/>
      <c r="AF121" s="335"/>
      <c r="AG121" s="335"/>
      <c r="AH121" s="335"/>
      <c r="AI121" s="335"/>
      <c r="AJ121" s="335"/>
      <c r="AK121" s="335"/>
      <c r="AL121" s="335"/>
      <c r="AM121" s="335"/>
      <c r="AN121" s="335"/>
      <c r="AO121" s="335"/>
      <c r="AP121" s="335"/>
      <c r="AQ121" s="335"/>
      <c r="AR121" s="335"/>
      <c r="AS121" s="335"/>
      <c r="AT121" s="335"/>
      <c r="AU121" s="335"/>
      <c r="AV121" s="335"/>
      <c r="AW121" s="335"/>
      <c r="AX121" s="335"/>
      <c r="AY121" s="335"/>
      <c r="AZ121" s="335"/>
    </row>
    <row r="122" spans="1:52" ht="15.75" customHeight="1">
      <c r="A122" s="335"/>
      <c r="B122" s="335"/>
      <c r="C122" s="335"/>
      <c r="D122" s="335"/>
      <c r="E122" s="335"/>
      <c r="F122" s="335"/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  <c r="AA122" s="335"/>
      <c r="AB122" s="335"/>
      <c r="AC122" s="335"/>
      <c r="AD122" s="335"/>
      <c r="AE122" s="335"/>
      <c r="AF122" s="335"/>
      <c r="AG122" s="335"/>
      <c r="AH122" s="335"/>
      <c r="AI122" s="335"/>
      <c r="AJ122" s="335"/>
      <c r="AK122" s="335"/>
      <c r="AL122" s="335"/>
      <c r="AM122" s="335"/>
      <c r="AN122" s="335"/>
      <c r="AO122" s="335"/>
      <c r="AP122" s="335"/>
      <c r="AQ122" s="335"/>
      <c r="AR122" s="335"/>
      <c r="AS122" s="335"/>
      <c r="AT122" s="335"/>
      <c r="AU122" s="335"/>
      <c r="AV122" s="335"/>
      <c r="AW122" s="335"/>
      <c r="AX122" s="335"/>
      <c r="AY122" s="335"/>
      <c r="AZ122" s="335"/>
    </row>
    <row r="123" spans="1:52" ht="15.75" customHeight="1">
      <c r="A123" s="335"/>
      <c r="B123" s="335"/>
      <c r="C123" s="335"/>
      <c r="D123" s="335"/>
      <c r="E123" s="335"/>
      <c r="F123" s="335"/>
      <c r="G123" s="335"/>
      <c r="H123" s="335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  <c r="AA123" s="335"/>
      <c r="AB123" s="335"/>
      <c r="AC123" s="335"/>
      <c r="AD123" s="335"/>
      <c r="AE123" s="335"/>
      <c r="AF123" s="335"/>
      <c r="AG123" s="335"/>
      <c r="AH123" s="335"/>
      <c r="AI123" s="335"/>
      <c r="AJ123" s="335"/>
      <c r="AK123" s="335"/>
      <c r="AL123" s="335"/>
      <c r="AM123" s="335"/>
      <c r="AN123" s="335"/>
      <c r="AO123" s="335"/>
      <c r="AP123" s="335"/>
      <c r="AQ123" s="335"/>
      <c r="AR123" s="335"/>
      <c r="AS123" s="335"/>
      <c r="AT123" s="335"/>
      <c r="AU123" s="335"/>
      <c r="AV123" s="335"/>
      <c r="AW123" s="335"/>
      <c r="AX123" s="335"/>
      <c r="AY123" s="335"/>
      <c r="AZ123" s="335"/>
    </row>
    <row r="124" spans="1:52" ht="15.75" customHeight="1">
      <c r="A124" s="335"/>
      <c r="B124" s="335"/>
      <c r="C124" s="335"/>
      <c r="D124" s="335"/>
      <c r="E124" s="335"/>
      <c r="F124" s="335"/>
      <c r="G124" s="335"/>
      <c r="H124" s="335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  <c r="AA124" s="335"/>
      <c r="AB124" s="335"/>
      <c r="AC124" s="335"/>
      <c r="AD124" s="335"/>
      <c r="AE124" s="335"/>
      <c r="AF124" s="335"/>
      <c r="AG124" s="335"/>
      <c r="AH124" s="335"/>
      <c r="AI124" s="335"/>
      <c r="AJ124" s="335"/>
      <c r="AK124" s="335"/>
      <c r="AL124" s="335"/>
      <c r="AM124" s="335"/>
      <c r="AN124" s="335"/>
      <c r="AO124" s="335"/>
      <c r="AP124" s="335"/>
      <c r="AQ124" s="335"/>
      <c r="AR124" s="335"/>
      <c r="AS124" s="335"/>
      <c r="AT124" s="335"/>
      <c r="AU124" s="335"/>
      <c r="AV124" s="335"/>
      <c r="AW124" s="335"/>
      <c r="AX124" s="335"/>
      <c r="AY124" s="335"/>
      <c r="AZ124" s="335"/>
    </row>
    <row r="125" spans="1:52" ht="15.75" customHeight="1">
      <c r="A125" s="335"/>
      <c r="B125" s="335"/>
      <c r="C125" s="335"/>
      <c r="D125" s="335"/>
      <c r="E125" s="335"/>
      <c r="F125" s="335"/>
      <c r="G125" s="335"/>
      <c r="H125" s="335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  <c r="AA125" s="335"/>
      <c r="AB125" s="335"/>
      <c r="AC125" s="335"/>
      <c r="AD125" s="335"/>
      <c r="AE125" s="335"/>
      <c r="AF125" s="335"/>
      <c r="AG125" s="335"/>
      <c r="AH125" s="335"/>
      <c r="AI125" s="335"/>
      <c r="AJ125" s="335"/>
      <c r="AK125" s="335"/>
      <c r="AL125" s="335"/>
      <c r="AM125" s="335"/>
      <c r="AN125" s="335"/>
      <c r="AO125" s="335"/>
      <c r="AP125" s="335"/>
      <c r="AQ125" s="335"/>
      <c r="AR125" s="335"/>
      <c r="AS125" s="335"/>
      <c r="AT125" s="335"/>
      <c r="AU125" s="335"/>
      <c r="AV125" s="335"/>
      <c r="AW125" s="335"/>
      <c r="AX125" s="335"/>
      <c r="AY125" s="335"/>
      <c r="AZ125" s="335"/>
    </row>
    <row r="126" spans="1:52" ht="15.75" customHeight="1">
      <c r="A126" s="335"/>
      <c r="B126" s="335"/>
      <c r="C126" s="335"/>
      <c r="D126" s="335"/>
      <c r="E126" s="335"/>
      <c r="F126" s="335"/>
      <c r="G126" s="335"/>
      <c r="H126" s="335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  <c r="AA126" s="335"/>
      <c r="AB126" s="335"/>
      <c r="AC126" s="335"/>
      <c r="AD126" s="335"/>
      <c r="AE126" s="335"/>
      <c r="AF126" s="335"/>
      <c r="AG126" s="335"/>
      <c r="AH126" s="335"/>
      <c r="AI126" s="335"/>
      <c r="AJ126" s="335"/>
      <c r="AK126" s="335"/>
      <c r="AL126" s="335"/>
      <c r="AM126" s="335"/>
      <c r="AN126" s="335"/>
      <c r="AO126" s="335"/>
      <c r="AP126" s="335"/>
      <c r="AQ126" s="335"/>
      <c r="AR126" s="335"/>
      <c r="AS126" s="335"/>
      <c r="AT126" s="335"/>
      <c r="AU126" s="335"/>
      <c r="AV126" s="335"/>
      <c r="AW126" s="335"/>
      <c r="AX126" s="335"/>
      <c r="AY126" s="335"/>
      <c r="AZ126" s="335"/>
    </row>
    <row r="127" spans="1:52" ht="15.75" customHeight="1">
      <c r="A127" s="335"/>
      <c r="B127" s="335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  <c r="AA127" s="335"/>
      <c r="AB127" s="335"/>
      <c r="AC127" s="335"/>
      <c r="AD127" s="335"/>
      <c r="AE127" s="335"/>
      <c r="AF127" s="335"/>
      <c r="AG127" s="335"/>
      <c r="AH127" s="335"/>
      <c r="AI127" s="335"/>
      <c r="AJ127" s="335"/>
      <c r="AK127" s="335"/>
      <c r="AL127" s="335"/>
      <c r="AM127" s="335"/>
      <c r="AN127" s="335"/>
      <c r="AO127" s="335"/>
      <c r="AP127" s="335"/>
      <c r="AQ127" s="335"/>
      <c r="AR127" s="335"/>
      <c r="AS127" s="335"/>
      <c r="AT127" s="335"/>
      <c r="AU127" s="335"/>
      <c r="AV127" s="335"/>
      <c r="AW127" s="335"/>
      <c r="AX127" s="335"/>
      <c r="AY127" s="335"/>
      <c r="AZ127" s="335"/>
    </row>
    <row r="128" spans="1:52" ht="15.75" customHeight="1">
      <c r="A128" s="335"/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335"/>
      <c r="AB128" s="335"/>
      <c r="AC128" s="335"/>
      <c r="AD128" s="335"/>
      <c r="AE128" s="335"/>
      <c r="AF128" s="335"/>
      <c r="AG128" s="335"/>
      <c r="AH128" s="335"/>
      <c r="AI128" s="335"/>
      <c r="AJ128" s="335"/>
      <c r="AK128" s="335"/>
      <c r="AL128" s="335"/>
      <c r="AM128" s="335"/>
      <c r="AN128" s="335"/>
      <c r="AO128" s="335"/>
      <c r="AP128" s="335"/>
      <c r="AQ128" s="335"/>
      <c r="AR128" s="335"/>
      <c r="AS128" s="335"/>
      <c r="AT128" s="335"/>
      <c r="AU128" s="335"/>
      <c r="AV128" s="335"/>
      <c r="AW128" s="335"/>
      <c r="AX128" s="335"/>
      <c r="AY128" s="335"/>
      <c r="AZ128" s="335"/>
    </row>
    <row r="129" spans="1:52" ht="15.75" customHeight="1">
      <c r="A129" s="335"/>
      <c r="B129" s="335"/>
      <c r="C129" s="335"/>
      <c r="D129" s="335"/>
      <c r="E129" s="335"/>
      <c r="F129" s="335"/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  <c r="AA129" s="335"/>
      <c r="AB129" s="335"/>
      <c r="AC129" s="335"/>
      <c r="AD129" s="335"/>
      <c r="AE129" s="335"/>
      <c r="AF129" s="335"/>
      <c r="AG129" s="335"/>
      <c r="AH129" s="335"/>
      <c r="AI129" s="335"/>
      <c r="AJ129" s="335"/>
      <c r="AK129" s="335"/>
      <c r="AL129" s="335"/>
      <c r="AM129" s="335"/>
      <c r="AN129" s="335"/>
      <c r="AO129" s="335"/>
      <c r="AP129" s="335"/>
      <c r="AQ129" s="335"/>
      <c r="AR129" s="335"/>
      <c r="AS129" s="335"/>
      <c r="AT129" s="335"/>
      <c r="AU129" s="335"/>
      <c r="AV129" s="335"/>
      <c r="AW129" s="335"/>
      <c r="AX129" s="335"/>
      <c r="AY129" s="335"/>
      <c r="AZ129" s="335"/>
    </row>
    <row r="130" spans="1:52" ht="15.75" customHeight="1">
      <c r="A130" s="335"/>
      <c r="B130" s="335"/>
      <c r="C130" s="335"/>
      <c r="D130" s="335"/>
      <c r="E130" s="335"/>
      <c r="F130" s="335"/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5"/>
      <c r="AB130" s="335"/>
      <c r="AC130" s="335"/>
      <c r="AD130" s="335"/>
      <c r="AE130" s="335"/>
      <c r="AF130" s="335"/>
      <c r="AG130" s="335"/>
      <c r="AH130" s="335"/>
      <c r="AI130" s="335"/>
      <c r="AJ130" s="335"/>
      <c r="AK130" s="335"/>
      <c r="AL130" s="335"/>
      <c r="AM130" s="335"/>
      <c r="AN130" s="335"/>
      <c r="AO130" s="335"/>
      <c r="AP130" s="335"/>
      <c r="AQ130" s="335"/>
      <c r="AR130" s="335"/>
      <c r="AS130" s="335"/>
      <c r="AT130" s="335"/>
      <c r="AU130" s="335"/>
      <c r="AV130" s="335"/>
      <c r="AW130" s="335"/>
      <c r="AX130" s="335"/>
      <c r="AY130" s="335"/>
      <c r="AZ130" s="335"/>
    </row>
    <row r="131" spans="1:52" ht="15.75" customHeight="1">
      <c r="A131" s="335"/>
      <c r="B131" s="335"/>
      <c r="C131" s="335"/>
      <c r="D131" s="335"/>
      <c r="E131" s="335"/>
      <c r="F131" s="335"/>
      <c r="G131" s="335"/>
      <c r="H131" s="335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  <c r="AA131" s="335"/>
      <c r="AB131" s="335"/>
      <c r="AC131" s="335"/>
      <c r="AD131" s="335"/>
      <c r="AE131" s="335"/>
      <c r="AF131" s="335"/>
      <c r="AG131" s="335"/>
      <c r="AH131" s="335"/>
      <c r="AI131" s="335"/>
      <c r="AJ131" s="335"/>
      <c r="AK131" s="335"/>
      <c r="AL131" s="335"/>
      <c r="AM131" s="335"/>
      <c r="AN131" s="335"/>
      <c r="AO131" s="335"/>
      <c r="AP131" s="335"/>
      <c r="AQ131" s="335"/>
      <c r="AR131" s="335"/>
      <c r="AS131" s="335"/>
      <c r="AT131" s="335"/>
      <c r="AU131" s="335"/>
      <c r="AV131" s="335"/>
      <c r="AW131" s="335"/>
      <c r="AX131" s="335"/>
      <c r="AY131" s="335"/>
      <c r="AZ131" s="335"/>
    </row>
    <row r="132" spans="1:52" ht="15.75" customHeight="1">
      <c r="A132" s="335"/>
      <c r="B132" s="335"/>
      <c r="C132" s="335"/>
      <c r="D132" s="335"/>
      <c r="E132" s="335"/>
      <c r="F132" s="335"/>
      <c r="G132" s="335"/>
      <c r="H132" s="335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  <c r="AA132" s="335"/>
      <c r="AB132" s="335"/>
      <c r="AC132" s="335"/>
      <c r="AD132" s="335"/>
      <c r="AE132" s="335"/>
      <c r="AF132" s="335"/>
      <c r="AG132" s="335"/>
      <c r="AH132" s="335"/>
      <c r="AI132" s="335"/>
      <c r="AJ132" s="335"/>
      <c r="AK132" s="335"/>
      <c r="AL132" s="335"/>
      <c r="AM132" s="335"/>
      <c r="AN132" s="335"/>
      <c r="AO132" s="335"/>
      <c r="AP132" s="335"/>
      <c r="AQ132" s="335"/>
      <c r="AR132" s="335"/>
      <c r="AS132" s="335"/>
      <c r="AT132" s="335"/>
      <c r="AU132" s="335"/>
      <c r="AV132" s="335"/>
      <c r="AW132" s="335"/>
      <c r="AX132" s="335"/>
      <c r="AY132" s="335"/>
      <c r="AZ132" s="335"/>
    </row>
    <row r="133" spans="1:52" ht="15.75" customHeight="1">
      <c r="A133" s="335"/>
      <c r="B133" s="335"/>
      <c r="C133" s="335"/>
      <c r="D133" s="335"/>
      <c r="E133" s="335"/>
      <c r="F133" s="335"/>
      <c r="G133" s="335"/>
      <c r="H133" s="335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  <c r="AA133" s="335"/>
      <c r="AB133" s="335"/>
      <c r="AC133" s="335"/>
      <c r="AD133" s="335"/>
      <c r="AE133" s="335"/>
      <c r="AF133" s="335"/>
      <c r="AG133" s="335"/>
      <c r="AH133" s="335"/>
      <c r="AI133" s="335"/>
      <c r="AJ133" s="335"/>
      <c r="AK133" s="335"/>
      <c r="AL133" s="335"/>
      <c r="AM133" s="335"/>
      <c r="AN133" s="335"/>
      <c r="AO133" s="335"/>
      <c r="AP133" s="335"/>
      <c r="AQ133" s="335"/>
      <c r="AR133" s="335"/>
      <c r="AS133" s="335"/>
      <c r="AT133" s="335"/>
      <c r="AU133" s="335"/>
      <c r="AV133" s="335"/>
      <c r="AW133" s="335"/>
      <c r="AX133" s="335"/>
      <c r="AY133" s="335"/>
      <c r="AZ133" s="335"/>
    </row>
    <row r="134" spans="1:52" ht="15.75" customHeight="1">
      <c r="A134" s="335"/>
      <c r="B134" s="335"/>
      <c r="C134" s="335"/>
      <c r="D134" s="335"/>
      <c r="E134" s="335"/>
      <c r="F134" s="335"/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  <c r="AA134" s="335"/>
      <c r="AB134" s="335"/>
      <c r="AC134" s="335"/>
      <c r="AD134" s="335"/>
      <c r="AE134" s="335"/>
      <c r="AF134" s="335"/>
      <c r="AG134" s="335"/>
      <c r="AH134" s="335"/>
      <c r="AI134" s="335"/>
      <c r="AJ134" s="335"/>
      <c r="AK134" s="335"/>
      <c r="AL134" s="335"/>
      <c r="AM134" s="335"/>
      <c r="AN134" s="335"/>
      <c r="AO134" s="335"/>
      <c r="AP134" s="335"/>
      <c r="AQ134" s="335"/>
      <c r="AR134" s="335"/>
      <c r="AS134" s="335"/>
      <c r="AT134" s="335"/>
      <c r="AU134" s="335"/>
      <c r="AV134" s="335"/>
      <c r="AW134" s="335"/>
      <c r="AX134" s="335"/>
      <c r="AY134" s="335"/>
      <c r="AZ134" s="335"/>
    </row>
    <row r="135" spans="1:52" ht="15.75" customHeight="1">
      <c r="A135" s="335"/>
      <c r="B135" s="335"/>
      <c r="C135" s="335"/>
      <c r="D135" s="335"/>
      <c r="E135" s="335"/>
      <c r="F135" s="335"/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  <c r="AA135" s="335"/>
      <c r="AB135" s="335"/>
      <c r="AC135" s="335"/>
      <c r="AD135" s="335"/>
      <c r="AE135" s="335"/>
      <c r="AF135" s="335"/>
      <c r="AG135" s="335"/>
      <c r="AH135" s="335"/>
      <c r="AI135" s="335"/>
      <c r="AJ135" s="335"/>
      <c r="AK135" s="335"/>
      <c r="AL135" s="335"/>
      <c r="AM135" s="335"/>
      <c r="AN135" s="335"/>
      <c r="AO135" s="335"/>
      <c r="AP135" s="335"/>
      <c r="AQ135" s="335"/>
      <c r="AR135" s="335"/>
      <c r="AS135" s="335"/>
      <c r="AT135" s="335"/>
      <c r="AU135" s="335"/>
      <c r="AV135" s="335"/>
      <c r="AW135" s="335"/>
      <c r="AX135" s="335"/>
      <c r="AY135" s="335"/>
      <c r="AZ135" s="335"/>
    </row>
    <row r="136" spans="1:52" ht="15.75" customHeight="1">
      <c r="A136" s="335"/>
      <c r="B136" s="335"/>
      <c r="C136" s="335"/>
      <c r="D136" s="335"/>
      <c r="E136" s="335"/>
      <c r="F136" s="335"/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  <c r="AA136" s="335"/>
      <c r="AB136" s="335"/>
      <c r="AC136" s="335"/>
      <c r="AD136" s="335"/>
      <c r="AE136" s="335"/>
      <c r="AF136" s="335"/>
      <c r="AG136" s="335"/>
      <c r="AH136" s="335"/>
      <c r="AI136" s="335"/>
      <c r="AJ136" s="335"/>
      <c r="AK136" s="335"/>
      <c r="AL136" s="335"/>
      <c r="AM136" s="335"/>
      <c r="AN136" s="335"/>
      <c r="AO136" s="335"/>
      <c r="AP136" s="335"/>
      <c r="AQ136" s="335"/>
      <c r="AR136" s="335"/>
      <c r="AS136" s="335"/>
      <c r="AT136" s="335"/>
      <c r="AU136" s="335"/>
      <c r="AV136" s="335"/>
      <c r="AW136" s="335"/>
      <c r="AX136" s="335"/>
      <c r="AY136" s="335"/>
      <c r="AZ136" s="335"/>
    </row>
    <row r="137" spans="1:52" ht="15.75" customHeight="1">
      <c r="A137" s="335"/>
      <c r="B137" s="335"/>
      <c r="C137" s="335"/>
      <c r="D137" s="335"/>
      <c r="E137" s="335"/>
      <c r="F137" s="335"/>
      <c r="G137" s="335"/>
      <c r="H137" s="335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  <c r="AA137" s="335"/>
      <c r="AB137" s="335"/>
      <c r="AC137" s="335"/>
      <c r="AD137" s="335"/>
      <c r="AE137" s="335"/>
      <c r="AF137" s="335"/>
      <c r="AG137" s="335"/>
      <c r="AH137" s="335"/>
      <c r="AI137" s="335"/>
      <c r="AJ137" s="335"/>
      <c r="AK137" s="335"/>
      <c r="AL137" s="335"/>
      <c r="AM137" s="335"/>
      <c r="AN137" s="335"/>
      <c r="AO137" s="335"/>
      <c r="AP137" s="335"/>
      <c r="AQ137" s="335"/>
      <c r="AR137" s="335"/>
      <c r="AS137" s="335"/>
      <c r="AT137" s="335"/>
      <c r="AU137" s="335"/>
      <c r="AV137" s="335"/>
      <c r="AW137" s="335"/>
      <c r="AX137" s="335"/>
      <c r="AY137" s="335"/>
      <c r="AZ137" s="335"/>
    </row>
    <row r="138" spans="1:52" ht="15.75" customHeight="1">
      <c r="A138" s="335"/>
      <c r="B138" s="335"/>
      <c r="C138" s="335"/>
      <c r="D138" s="335"/>
      <c r="E138" s="335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5"/>
      <c r="AB138" s="335"/>
      <c r="AC138" s="335"/>
      <c r="AD138" s="335"/>
      <c r="AE138" s="335"/>
      <c r="AF138" s="335"/>
      <c r="AG138" s="335"/>
      <c r="AH138" s="335"/>
      <c r="AI138" s="335"/>
      <c r="AJ138" s="335"/>
      <c r="AK138" s="335"/>
      <c r="AL138" s="335"/>
      <c r="AM138" s="335"/>
      <c r="AN138" s="335"/>
      <c r="AO138" s="335"/>
      <c r="AP138" s="335"/>
      <c r="AQ138" s="335"/>
      <c r="AR138" s="335"/>
      <c r="AS138" s="335"/>
      <c r="AT138" s="335"/>
      <c r="AU138" s="335"/>
      <c r="AV138" s="335"/>
      <c r="AW138" s="335"/>
      <c r="AX138" s="335"/>
      <c r="AY138" s="335"/>
      <c r="AZ138" s="335"/>
    </row>
    <row r="139" spans="1:52" ht="15.75" customHeight="1">
      <c r="A139" s="335"/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  <c r="AA139" s="335"/>
      <c r="AB139" s="335"/>
      <c r="AC139" s="335"/>
      <c r="AD139" s="335"/>
      <c r="AE139" s="335"/>
      <c r="AF139" s="335"/>
      <c r="AG139" s="335"/>
      <c r="AH139" s="335"/>
      <c r="AI139" s="335"/>
      <c r="AJ139" s="335"/>
      <c r="AK139" s="335"/>
      <c r="AL139" s="335"/>
      <c r="AM139" s="335"/>
      <c r="AN139" s="335"/>
      <c r="AO139" s="335"/>
      <c r="AP139" s="335"/>
      <c r="AQ139" s="335"/>
      <c r="AR139" s="335"/>
      <c r="AS139" s="335"/>
      <c r="AT139" s="335"/>
      <c r="AU139" s="335"/>
      <c r="AV139" s="335"/>
      <c r="AW139" s="335"/>
      <c r="AX139" s="335"/>
      <c r="AY139" s="335"/>
      <c r="AZ139" s="335"/>
    </row>
    <row r="140" spans="1:52" ht="15.75" customHeight="1">
      <c r="A140" s="335"/>
      <c r="B140" s="335"/>
      <c r="C140" s="335"/>
      <c r="D140" s="335"/>
      <c r="E140" s="335"/>
      <c r="F140" s="335"/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  <c r="AA140" s="335"/>
      <c r="AB140" s="335"/>
      <c r="AC140" s="335"/>
      <c r="AD140" s="335"/>
      <c r="AE140" s="335"/>
      <c r="AF140" s="335"/>
      <c r="AG140" s="335"/>
      <c r="AH140" s="335"/>
      <c r="AI140" s="335"/>
      <c r="AJ140" s="335"/>
      <c r="AK140" s="335"/>
      <c r="AL140" s="335"/>
      <c r="AM140" s="335"/>
      <c r="AN140" s="335"/>
      <c r="AO140" s="335"/>
      <c r="AP140" s="335"/>
      <c r="AQ140" s="335"/>
      <c r="AR140" s="335"/>
      <c r="AS140" s="335"/>
      <c r="AT140" s="335"/>
      <c r="AU140" s="335"/>
      <c r="AV140" s="335"/>
      <c r="AW140" s="335"/>
      <c r="AX140" s="335"/>
      <c r="AY140" s="335"/>
      <c r="AZ140" s="335"/>
    </row>
    <row r="141" spans="1:52" ht="15.75" customHeight="1">
      <c r="A141" s="335"/>
      <c r="B141" s="335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  <c r="AA141" s="335"/>
      <c r="AB141" s="335"/>
      <c r="AC141" s="335"/>
      <c r="AD141" s="335"/>
      <c r="AE141" s="335"/>
      <c r="AF141" s="335"/>
      <c r="AG141" s="335"/>
      <c r="AH141" s="335"/>
      <c r="AI141" s="335"/>
      <c r="AJ141" s="335"/>
      <c r="AK141" s="335"/>
      <c r="AL141" s="335"/>
      <c r="AM141" s="335"/>
      <c r="AN141" s="335"/>
      <c r="AO141" s="335"/>
      <c r="AP141" s="335"/>
      <c r="AQ141" s="335"/>
      <c r="AR141" s="335"/>
      <c r="AS141" s="335"/>
      <c r="AT141" s="335"/>
      <c r="AU141" s="335"/>
      <c r="AV141" s="335"/>
      <c r="AW141" s="335"/>
      <c r="AX141" s="335"/>
      <c r="AY141" s="335"/>
      <c r="AZ141" s="335"/>
    </row>
    <row r="142" spans="1:52" ht="15.75" customHeight="1">
      <c r="A142" s="335"/>
      <c r="B142" s="335"/>
      <c r="C142" s="335"/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  <c r="AA142" s="335"/>
      <c r="AB142" s="335"/>
      <c r="AC142" s="335"/>
      <c r="AD142" s="335"/>
      <c r="AE142" s="335"/>
      <c r="AF142" s="335"/>
      <c r="AG142" s="335"/>
      <c r="AH142" s="335"/>
      <c r="AI142" s="335"/>
      <c r="AJ142" s="335"/>
      <c r="AK142" s="335"/>
      <c r="AL142" s="335"/>
      <c r="AM142" s="335"/>
      <c r="AN142" s="335"/>
      <c r="AO142" s="335"/>
      <c r="AP142" s="335"/>
      <c r="AQ142" s="335"/>
      <c r="AR142" s="335"/>
      <c r="AS142" s="335"/>
      <c r="AT142" s="335"/>
      <c r="AU142" s="335"/>
      <c r="AV142" s="335"/>
      <c r="AW142" s="335"/>
      <c r="AX142" s="335"/>
      <c r="AY142" s="335"/>
      <c r="AZ142" s="335"/>
    </row>
    <row r="143" spans="1:52" ht="15.75" customHeight="1">
      <c r="A143" s="335"/>
      <c r="B143" s="335"/>
      <c r="C143" s="335"/>
      <c r="D143" s="335"/>
      <c r="E143" s="335"/>
      <c r="F143" s="335"/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  <c r="AA143" s="335"/>
      <c r="AB143" s="335"/>
      <c r="AC143" s="335"/>
      <c r="AD143" s="335"/>
      <c r="AE143" s="335"/>
      <c r="AF143" s="335"/>
      <c r="AG143" s="335"/>
      <c r="AH143" s="335"/>
      <c r="AI143" s="335"/>
      <c r="AJ143" s="335"/>
      <c r="AK143" s="335"/>
      <c r="AL143" s="335"/>
      <c r="AM143" s="335"/>
      <c r="AN143" s="335"/>
      <c r="AO143" s="335"/>
      <c r="AP143" s="335"/>
      <c r="AQ143" s="335"/>
      <c r="AR143" s="335"/>
      <c r="AS143" s="335"/>
      <c r="AT143" s="335"/>
      <c r="AU143" s="335"/>
      <c r="AV143" s="335"/>
      <c r="AW143" s="335"/>
      <c r="AX143" s="335"/>
      <c r="AY143" s="335"/>
      <c r="AZ143" s="335"/>
    </row>
    <row r="144" spans="1:52" ht="15.75" customHeight="1">
      <c r="A144" s="335"/>
      <c r="B144" s="335"/>
      <c r="C144" s="335"/>
      <c r="D144" s="335"/>
      <c r="E144" s="335"/>
      <c r="F144" s="335"/>
      <c r="G144" s="335"/>
      <c r="H144" s="335"/>
      <c r="I144" s="335"/>
      <c r="J144" s="335"/>
      <c r="K144" s="335"/>
      <c r="L144" s="335"/>
      <c r="M144" s="335"/>
      <c r="N144" s="335"/>
      <c r="O144" s="335"/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  <c r="AA144" s="335"/>
      <c r="AB144" s="335"/>
      <c r="AC144" s="335"/>
      <c r="AD144" s="335"/>
      <c r="AE144" s="335"/>
      <c r="AF144" s="335"/>
      <c r="AG144" s="335"/>
      <c r="AH144" s="335"/>
      <c r="AI144" s="335"/>
      <c r="AJ144" s="335"/>
      <c r="AK144" s="335"/>
      <c r="AL144" s="335"/>
      <c r="AM144" s="335"/>
      <c r="AN144" s="335"/>
      <c r="AO144" s="335"/>
      <c r="AP144" s="335"/>
      <c r="AQ144" s="335"/>
      <c r="AR144" s="335"/>
      <c r="AS144" s="335"/>
      <c r="AT144" s="335"/>
      <c r="AU144" s="335"/>
      <c r="AV144" s="335"/>
      <c r="AW144" s="335"/>
      <c r="AX144" s="335"/>
      <c r="AY144" s="335"/>
      <c r="AZ144" s="335"/>
    </row>
    <row r="145" spans="1:52" ht="15.75" customHeight="1">
      <c r="A145" s="335"/>
      <c r="B145" s="335"/>
      <c r="C145" s="335"/>
      <c r="D145" s="335"/>
      <c r="E145" s="335"/>
      <c r="F145" s="335"/>
      <c r="G145" s="335"/>
      <c r="H145" s="335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  <c r="AA145" s="335"/>
      <c r="AB145" s="335"/>
      <c r="AC145" s="335"/>
      <c r="AD145" s="335"/>
      <c r="AE145" s="335"/>
      <c r="AF145" s="335"/>
      <c r="AG145" s="335"/>
      <c r="AH145" s="335"/>
      <c r="AI145" s="335"/>
      <c r="AJ145" s="335"/>
      <c r="AK145" s="335"/>
      <c r="AL145" s="335"/>
      <c r="AM145" s="335"/>
      <c r="AN145" s="335"/>
      <c r="AO145" s="335"/>
      <c r="AP145" s="335"/>
      <c r="AQ145" s="335"/>
      <c r="AR145" s="335"/>
      <c r="AS145" s="335"/>
      <c r="AT145" s="335"/>
      <c r="AU145" s="335"/>
      <c r="AV145" s="335"/>
      <c r="AW145" s="335"/>
      <c r="AX145" s="335"/>
      <c r="AY145" s="335"/>
      <c r="AZ145" s="335"/>
    </row>
    <row r="146" spans="1:52" ht="15.75" customHeight="1">
      <c r="A146" s="335"/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335"/>
      <c r="AB146" s="335"/>
      <c r="AC146" s="335"/>
      <c r="AD146" s="335"/>
      <c r="AE146" s="335"/>
      <c r="AF146" s="335"/>
      <c r="AG146" s="335"/>
      <c r="AH146" s="335"/>
      <c r="AI146" s="335"/>
      <c r="AJ146" s="335"/>
      <c r="AK146" s="335"/>
      <c r="AL146" s="335"/>
      <c r="AM146" s="335"/>
      <c r="AN146" s="335"/>
      <c r="AO146" s="335"/>
      <c r="AP146" s="335"/>
      <c r="AQ146" s="335"/>
      <c r="AR146" s="335"/>
      <c r="AS146" s="335"/>
      <c r="AT146" s="335"/>
      <c r="AU146" s="335"/>
      <c r="AV146" s="335"/>
      <c r="AW146" s="335"/>
      <c r="AX146" s="335"/>
      <c r="AY146" s="335"/>
      <c r="AZ146" s="335"/>
    </row>
    <row r="147" spans="1:52" ht="15.75" customHeight="1">
      <c r="A147" s="335"/>
      <c r="B147" s="335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  <c r="AA147" s="335"/>
      <c r="AB147" s="335"/>
      <c r="AC147" s="335"/>
      <c r="AD147" s="335"/>
      <c r="AE147" s="335"/>
      <c r="AF147" s="335"/>
      <c r="AG147" s="335"/>
      <c r="AH147" s="335"/>
      <c r="AI147" s="335"/>
      <c r="AJ147" s="335"/>
      <c r="AK147" s="335"/>
      <c r="AL147" s="335"/>
      <c r="AM147" s="335"/>
      <c r="AN147" s="335"/>
      <c r="AO147" s="335"/>
      <c r="AP147" s="335"/>
      <c r="AQ147" s="335"/>
      <c r="AR147" s="335"/>
      <c r="AS147" s="335"/>
      <c r="AT147" s="335"/>
      <c r="AU147" s="335"/>
      <c r="AV147" s="335"/>
      <c r="AW147" s="335"/>
      <c r="AX147" s="335"/>
      <c r="AY147" s="335"/>
      <c r="AZ147" s="335"/>
    </row>
    <row r="148" spans="1:52" ht="15.75" customHeight="1">
      <c r="A148" s="335"/>
      <c r="B148" s="335"/>
      <c r="C148" s="335"/>
      <c r="D148" s="335"/>
      <c r="E148" s="335"/>
      <c r="F148" s="335"/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  <c r="AA148" s="335"/>
      <c r="AB148" s="335"/>
      <c r="AC148" s="335"/>
      <c r="AD148" s="335"/>
      <c r="AE148" s="335"/>
      <c r="AF148" s="335"/>
      <c r="AG148" s="335"/>
      <c r="AH148" s="335"/>
      <c r="AI148" s="335"/>
      <c r="AJ148" s="335"/>
      <c r="AK148" s="335"/>
      <c r="AL148" s="335"/>
      <c r="AM148" s="335"/>
      <c r="AN148" s="335"/>
      <c r="AO148" s="335"/>
      <c r="AP148" s="335"/>
      <c r="AQ148" s="335"/>
      <c r="AR148" s="335"/>
      <c r="AS148" s="335"/>
      <c r="AT148" s="335"/>
      <c r="AU148" s="335"/>
      <c r="AV148" s="335"/>
      <c r="AW148" s="335"/>
      <c r="AX148" s="335"/>
      <c r="AY148" s="335"/>
      <c r="AZ148" s="335"/>
    </row>
    <row r="149" spans="1:52" ht="15.75" customHeight="1">
      <c r="A149" s="335"/>
      <c r="B149" s="335"/>
      <c r="C149" s="335"/>
      <c r="D149" s="335"/>
      <c r="E149" s="335"/>
      <c r="F149" s="335"/>
      <c r="G149" s="335"/>
      <c r="H149" s="335"/>
      <c r="I149" s="335"/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  <c r="AA149" s="335"/>
      <c r="AB149" s="335"/>
      <c r="AC149" s="335"/>
      <c r="AD149" s="335"/>
      <c r="AE149" s="335"/>
      <c r="AF149" s="335"/>
      <c r="AG149" s="335"/>
      <c r="AH149" s="335"/>
      <c r="AI149" s="335"/>
      <c r="AJ149" s="335"/>
      <c r="AK149" s="335"/>
      <c r="AL149" s="335"/>
      <c r="AM149" s="335"/>
      <c r="AN149" s="335"/>
      <c r="AO149" s="335"/>
      <c r="AP149" s="335"/>
      <c r="AQ149" s="335"/>
      <c r="AR149" s="335"/>
      <c r="AS149" s="335"/>
      <c r="AT149" s="335"/>
      <c r="AU149" s="335"/>
      <c r="AV149" s="335"/>
      <c r="AW149" s="335"/>
      <c r="AX149" s="335"/>
      <c r="AY149" s="335"/>
      <c r="AZ149" s="335"/>
    </row>
    <row r="150" spans="1:52" ht="15.75" customHeight="1">
      <c r="A150" s="335"/>
      <c r="B150" s="335"/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  <c r="AA150" s="335"/>
      <c r="AB150" s="335"/>
      <c r="AC150" s="335"/>
      <c r="AD150" s="335"/>
      <c r="AE150" s="335"/>
      <c r="AF150" s="335"/>
      <c r="AG150" s="335"/>
      <c r="AH150" s="335"/>
      <c r="AI150" s="335"/>
      <c r="AJ150" s="335"/>
      <c r="AK150" s="335"/>
      <c r="AL150" s="335"/>
      <c r="AM150" s="335"/>
      <c r="AN150" s="335"/>
      <c r="AO150" s="335"/>
      <c r="AP150" s="335"/>
      <c r="AQ150" s="335"/>
      <c r="AR150" s="335"/>
      <c r="AS150" s="335"/>
      <c r="AT150" s="335"/>
      <c r="AU150" s="335"/>
      <c r="AV150" s="335"/>
      <c r="AW150" s="335"/>
      <c r="AX150" s="335"/>
      <c r="AY150" s="335"/>
      <c r="AZ150" s="335"/>
    </row>
    <row r="151" spans="1:52" ht="15.75" customHeight="1">
      <c r="A151" s="335"/>
      <c r="B151" s="335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  <c r="AA151" s="335"/>
      <c r="AB151" s="335"/>
      <c r="AC151" s="335"/>
      <c r="AD151" s="335"/>
      <c r="AE151" s="335"/>
      <c r="AF151" s="335"/>
      <c r="AG151" s="335"/>
      <c r="AH151" s="335"/>
      <c r="AI151" s="335"/>
      <c r="AJ151" s="335"/>
      <c r="AK151" s="335"/>
      <c r="AL151" s="335"/>
      <c r="AM151" s="335"/>
      <c r="AN151" s="335"/>
      <c r="AO151" s="335"/>
      <c r="AP151" s="335"/>
      <c r="AQ151" s="335"/>
      <c r="AR151" s="335"/>
      <c r="AS151" s="335"/>
      <c r="AT151" s="335"/>
      <c r="AU151" s="335"/>
      <c r="AV151" s="335"/>
      <c r="AW151" s="335"/>
      <c r="AX151" s="335"/>
      <c r="AY151" s="335"/>
      <c r="AZ151" s="335"/>
    </row>
    <row r="152" spans="1:52" ht="15.75" customHeight="1">
      <c r="A152" s="335"/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335"/>
      <c r="AB152" s="335"/>
      <c r="AC152" s="335"/>
      <c r="AD152" s="335"/>
      <c r="AE152" s="335"/>
      <c r="AF152" s="335"/>
      <c r="AG152" s="335"/>
      <c r="AH152" s="335"/>
      <c r="AI152" s="335"/>
      <c r="AJ152" s="335"/>
      <c r="AK152" s="335"/>
      <c r="AL152" s="335"/>
      <c r="AM152" s="335"/>
      <c r="AN152" s="335"/>
      <c r="AO152" s="335"/>
      <c r="AP152" s="335"/>
      <c r="AQ152" s="335"/>
      <c r="AR152" s="335"/>
      <c r="AS152" s="335"/>
      <c r="AT152" s="335"/>
      <c r="AU152" s="335"/>
      <c r="AV152" s="335"/>
      <c r="AW152" s="335"/>
      <c r="AX152" s="335"/>
      <c r="AY152" s="335"/>
      <c r="AZ152" s="335"/>
    </row>
    <row r="153" spans="1:52" ht="15.75" customHeight="1">
      <c r="A153" s="335"/>
      <c r="B153" s="335"/>
      <c r="C153" s="335"/>
      <c r="D153" s="335"/>
      <c r="E153" s="335"/>
      <c r="F153" s="335"/>
      <c r="G153" s="335"/>
      <c r="H153" s="335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  <c r="AA153" s="335"/>
      <c r="AB153" s="335"/>
      <c r="AC153" s="335"/>
      <c r="AD153" s="335"/>
      <c r="AE153" s="335"/>
      <c r="AF153" s="335"/>
      <c r="AG153" s="335"/>
      <c r="AH153" s="335"/>
      <c r="AI153" s="335"/>
      <c r="AJ153" s="335"/>
      <c r="AK153" s="335"/>
      <c r="AL153" s="335"/>
      <c r="AM153" s="335"/>
      <c r="AN153" s="335"/>
      <c r="AO153" s="335"/>
      <c r="AP153" s="335"/>
      <c r="AQ153" s="335"/>
      <c r="AR153" s="335"/>
      <c r="AS153" s="335"/>
      <c r="AT153" s="335"/>
      <c r="AU153" s="335"/>
      <c r="AV153" s="335"/>
      <c r="AW153" s="335"/>
      <c r="AX153" s="335"/>
      <c r="AY153" s="335"/>
      <c r="AZ153" s="335"/>
    </row>
    <row r="154" spans="1:52" ht="15.75" customHeight="1">
      <c r="A154" s="335"/>
      <c r="B154" s="335"/>
      <c r="C154" s="335"/>
      <c r="D154" s="335"/>
      <c r="E154" s="335"/>
      <c r="F154" s="335"/>
      <c r="G154" s="335"/>
      <c r="H154" s="335"/>
      <c r="I154" s="335"/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  <c r="AA154" s="335"/>
      <c r="AB154" s="335"/>
      <c r="AC154" s="335"/>
      <c r="AD154" s="335"/>
      <c r="AE154" s="335"/>
      <c r="AF154" s="335"/>
      <c r="AG154" s="335"/>
      <c r="AH154" s="335"/>
      <c r="AI154" s="335"/>
      <c r="AJ154" s="335"/>
      <c r="AK154" s="335"/>
      <c r="AL154" s="335"/>
      <c r="AM154" s="335"/>
      <c r="AN154" s="335"/>
      <c r="AO154" s="335"/>
      <c r="AP154" s="335"/>
      <c r="AQ154" s="335"/>
      <c r="AR154" s="335"/>
      <c r="AS154" s="335"/>
      <c r="AT154" s="335"/>
      <c r="AU154" s="335"/>
      <c r="AV154" s="335"/>
      <c r="AW154" s="335"/>
      <c r="AX154" s="335"/>
      <c r="AY154" s="335"/>
      <c r="AZ154" s="335"/>
    </row>
    <row r="155" spans="1:52" ht="15.75" customHeight="1">
      <c r="A155" s="335"/>
      <c r="B155" s="335"/>
      <c r="C155" s="335"/>
      <c r="D155" s="335"/>
      <c r="E155" s="335"/>
      <c r="F155" s="335"/>
      <c r="G155" s="335"/>
      <c r="H155" s="335"/>
      <c r="I155" s="335"/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  <c r="AA155" s="335"/>
      <c r="AB155" s="335"/>
      <c r="AC155" s="335"/>
      <c r="AD155" s="335"/>
      <c r="AE155" s="335"/>
      <c r="AF155" s="335"/>
      <c r="AG155" s="335"/>
      <c r="AH155" s="335"/>
      <c r="AI155" s="335"/>
      <c r="AJ155" s="335"/>
      <c r="AK155" s="335"/>
      <c r="AL155" s="335"/>
      <c r="AM155" s="335"/>
      <c r="AN155" s="335"/>
      <c r="AO155" s="335"/>
      <c r="AP155" s="335"/>
      <c r="AQ155" s="335"/>
      <c r="AR155" s="335"/>
      <c r="AS155" s="335"/>
      <c r="AT155" s="335"/>
      <c r="AU155" s="335"/>
      <c r="AV155" s="335"/>
      <c r="AW155" s="335"/>
      <c r="AX155" s="335"/>
      <c r="AY155" s="335"/>
      <c r="AZ155" s="335"/>
    </row>
    <row r="156" spans="1:52" ht="15.75" customHeight="1">
      <c r="A156" s="335"/>
      <c r="B156" s="335"/>
      <c r="C156" s="335"/>
      <c r="D156" s="335"/>
      <c r="E156" s="335"/>
      <c r="F156" s="335"/>
      <c r="G156" s="335"/>
      <c r="H156" s="335"/>
      <c r="I156" s="335"/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  <c r="AA156" s="335"/>
      <c r="AB156" s="335"/>
      <c r="AC156" s="335"/>
      <c r="AD156" s="335"/>
      <c r="AE156" s="335"/>
      <c r="AF156" s="335"/>
      <c r="AG156" s="335"/>
      <c r="AH156" s="335"/>
      <c r="AI156" s="335"/>
      <c r="AJ156" s="335"/>
      <c r="AK156" s="335"/>
      <c r="AL156" s="335"/>
      <c r="AM156" s="335"/>
      <c r="AN156" s="335"/>
      <c r="AO156" s="335"/>
      <c r="AP156" s="335"/>
      <c r="AQ156" s="335"/>
      <c r="AR156" s="335"/>
      <c r="AS156" s="335"/>
      <c r="AT156" s="335"/>
      <c r="AU156" s="335"/>
      <c r="AV156" s="335"/>
      <c r="AW156" s="335"/>
      <c r="AX156" s="335"/>
      <c r="AY156" s="335"/>
      <c r="AZ156" s="335"/>
    </row>
    <row r="157" spans="1:52" ht="15.75" customHeight="1">
      <c r="A157" s="335"/>
      <c r="B157" s="335"/>
      <c r="C157" s="335"/>
      <c r="D157" s="335"/>
      <c r="E157" s="335"/>
      <c r="F157" s="335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  <c r="AA157" s="335"/>
      <c r="AB157" s="335"/>
      <c r="AC157" s="335"/>
      <c r="AD157" s="335"/>
      <c r="AE157" s="335"/>
      <c r="AF157" s="335"/>
      <c r="AG157" s="335"/>
      <c r="AH157" s="335"/>
      <c r="AI157" s="335"/>
      <c r="AJ157" s="335"/>
      <c r="AK157" s="335"/>
      <c r="AL157" s="335"/>
      <c r="AM157" s="335"/>
      <c r="AN157" s="335"/>
      <c r="AO157" s="335"/>
      <c r="AP157" s="335"/>
      <c r="AQ157" s="335"/>
      <c r="AR157" s="335"/>
      <c r="AS157" s="335"/>
      <c r="AT157" s="335"/>
      <c r="AU157" s="335"/>
      <c r="AV157" s="335"/>
      <c r="AW157" s="335"/>
      <c r="AX157" s="335"/>
      <c r="AY157" s="335"/>
      <c r="AZ157" s="335"/>
    </row>
    <row r="158" spans="1:52" ht="15.75" customHeight="1">
      <c r="A158" s="335"/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335"/>
      <c r="AB158" s="335"/>
      <c r="AC158" s="335"/>
      <c r="AD158" s="335"/>
      <c r="AE158" s="335"/>
      <c r="AF158" s="335"/>
      <c r="AG158" s="335"/>
      <c r="AH158" s="335"/>
      <c r="AI158" s="335"/>
      <c r="AJ158" s="335"/>
      <c r="AK158" s="335"/>
      <c r="AL158" s="335"/>
      <c r="AM158" s="335"/>
      <c r="AN158" s="335"/>
      <c r="AO158" s="335"/>
      <c r="AP158" s="335"/>
      <c r="AQ158" s="335"/>
      <c r="AR158" s="335"/>
      <c r="AS158" s="335"/>
      <c r="AT158" s="335"/>
      <c r="AU158" s="335"/>
      <c r="AV158" s="335"/>
      <c r="AW158" s="335"/>
      <c r="AX158" s="335"/>
      <c r="AY158" s="335"/>
      <c r="AZ158" s="335"/>
    </row>
    <row r="159" spans="1:52" ht="15.75" customHeight="1">
      <c r="A159" s="335"/>
      <c r="B159" s="335"/>
      <c r="C159" s="335"/>
      <c r="D159" s="335"/>
      <c r="E159" s="335"/>
      <c r="F159" s="335"/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  <c r="AA159" s="335"/>
      <c r="AB159" s="335"/>
      <c r="AC159" s="335"/>
      <c r="AD159" s="335"/>
      <c r="AE159" s="335"/>
      <c r="AF159" s="335"/>
      <c r="AG159" s="335"/>
      <c r="AH159" s="335"/>
      <c r="AI159" s="335"/>
      <c r="AJ159" s="335"/>
      <c r="AK159" s="335"/>
      <c r="AL159" s="335"/>
      <c r="AM159" s="335"/>
      <c r="AN159" s="335"/>
      <c r="AO159" s="335"/>
      <c r="AP159" s="335"/>
      <c r="AQ159" s="335"/>
      <c r="AR159" s="335"/>
      <c r="AS159" s="335"/>
      <c r="AT159" s="335"/>
      <c r="AU159" s="335"/>
      <c r="AV159" s="335"/>
      <c r="AW159" s="335"/>
      <c r="AX159" s="335"/>
      <c r="AY159" s="335"/>
      <c r="AZ159" s="335"/>
    </row>
    <row r="160" spans="1:52" ht="15.75" customHeight="1">
      <c r="A160" s="335"/>
      <c r="B160" s="335"/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  <c r="AA160" s="335"/>
      <c r="AB160" s="335"/>
      <c r="AC160" s="335"/>
      <c r="AD160" s="335"/>
      <c r="AE160" s="335"/>
      <c r="AF160" s="335"/>
      <c r="AG160" s="335"/>
      <c r="AH160" s="335"/>
      <c r="AI160" s="335"/>
      <c r="AJ160" s="335"/>
      <c r="AK160" s="335"/>
      <c r="AL160" s="335"/>
      <c r="AM160" s="335"/>
      <c r="AN160" s="335"/>
      <c r="AO160" s="335"/>
      <c r="AP160" s="335"/>
      <c r="AQ160" s="335"/>
      <c r="AR160" s="335"/>
      <c r="AS160" s="335"/>
      <c r="AT160" s="335"/>
      <c r="AU160" s="335"/>
      <c r="AV160" s="335"/>
      <c r="AW160" s="335"/>
      <c r="AX160" s="335"/>
      <c r="AY160" s="335"/>
      <c r="AZ160" s="335"/>
    </row>
    <row r="161" spans="1:52" ht="15.75" customHeight="1">
      <c r="A161" s="335"/>
      <c r="B161" s="335"/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  <c r="AA161" s="335"/>
      <c r="AB161" s="335"/>
      <c r="AC161" s="335"/>
      <c r="AD161" s="335"/>
      <c r="AE161" s="335"/>
      <c r="AF161" s="335"/>
      <c r="AG161" s="335"/>
      <c r="AH161" s="335"/>
      <c r="AI161" s="335"/>
      <c r="AJ161" s="335"/>
      <c r="AK161" s="335"/>
      <c r="AL161" s="335"/>
      <c r="AM161" s="335"/>
      <c r="AN161" s="335"/>
      <c r="AO161" s="335"/>
      <c r="AP161" s="335"/>
      <c r="AQ161" s="335"/>
      <c r="AR161" s="335"/>
      <c r="AS161" s="335"/>
      <c r="AT161" s="335"/>
      <c r="AU161" s="335"/>
      <c r="AV161" s="335"/>
      <c r="AW161" s="335"/>
      <c r="AX161" s="335"/>
      <c r="AY161" s="335"/>
      <c r="AZ161" s="335"/>
    </row>
    <row r="162" spans="1:52" ht="15.75" customHeight="1">
      <c r="A162" s="335"/>
      <c r="B162" s="335"/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  <c r="AA162" s="335"/>
      <c r="AB162" s="335"/>
      <c r="AC162" s="335"/>
      <c r="AD162" s="335"/>
      <c r="AE162" s="335"/>
      <c r="AF162" s="335"/>
      <c r="AG162" s="335"/>
      <c r="AH162" s="335"/>
      <c r="AI162" s="335"/>
      <c r="AJ162" s="335"/>
      <c r="AK162" s="335"/>
      <c r="AL162" s="335"/>
      <c r="AM162" s="335"/>
      <c r="AN162" s="335"/>
      <c r="AO162" s="335"/>
      <c r="AP162" s="335"/>
      <c r="AQ162" s="335"/>
      <c r="AR162" s="335"/>
      <c r="AS162" s="335"/>
      <c r="AT162" s="335"/>
      <c r="AU162" s="335"/>
      <c r="AV162" s="335"/>
      <c r="AW162" s="335"/>
      <c r="AX162" s="335"/>
      <c r="AY162" s="335"/>
      <c r="AZ162" s="335"/>
    </row>
    <row r="163" spans="1:52" ht="15.75" customHeight="1">
      <c r="A163" s="335"/>
      <c r="B163" s="335"/>
      <c r="C163" s="335"/>
      <c r="D163" s="335"/>
      <c r="E163" s="335"/>
      <c r="F163" s="335"/>
      <c r="G163" s="335"/>
      <c r="H163" s="335"/>
      <c r="I163" s="335"/>
      <c r="J163" s="335"/>
      <c r="K163" s="335"/>
      <c r="L163" s="335"/>
      <c r="M163" s="335"/>
      <c r="N163" s="335"/>
      <c r="O163" s="335"/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  <c r="AA163" s="335"/>
      <c r="AB163" s="335"/>
      <c r="AC163" s="335"/>
      <c r="AD163" s="335"/>
      <c r="AE163" s="335"/>
      <c r="AF163" s="335"/>
      <c r="AG163" s="335"/>
      <c r="AH163" s="335"/>
      <c r="AI163" s="335"/>
      <c r="AJ163" s="335"/>
      <c r="AK163" s="335"/>
      <c r="AL163" s="335"/>
      <c r="AM163" s="335"/>
      <c r="AN163" s="335"/>
      <c r="AO163" s="335"/>
      <c r="AP163" s="335"/>
      <c r="AQ163" s="335"/>
      <c r="AR163" s="335"/>
      <c r="AS163" s="335"/>
      <c r="AT163" s="335"/>
      <c r="AU163" s="335"/>
      <c r="AV163" s="335"/>
      <c r="AW163" s="335"/>
      <c r="AX163" s="335"/>
      <c r="AY163" s="335"/>
      <c r="AZ163" s="335"/>
    </row>
    <row r="164" spans="1:52" ht="15.75" customHeight="1">
      <c r="A164" s="335"/>
      <c r="B164" s="335"/>
      <c r="C164" s="335"/>
      <c r="D164" s="335"/>
      <c r="E164" s="335"/>
      <c r="F164" s="335"/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  <c r="AA164" s="335"/>
      <c r="AB164" s="335"/>
      <c r="AC164" s="335"/>
      <c r="AD164" s="335"/>
      <c r="AE164" s="335"/>
      <c r="AF164" s="335"/>
      <c r="AG164" s="335"/>
      <c r="AH164" s="335"/>
      <c r="AI164" s="335"/>
      <c r="AJ164" s="335"/>
      <c r="AK164" s="335"/>
      <c r="AL164" s="335"/>
      <c r="AM164" s="335"/>
      <c r="AN164" s="335"/>
      <c r="AO164" s="335"/>
      <c r="AP164" s="335"/>
      <c r="AQ164" s="335"/>
      <c r="AR164" s="335"/>
      <c r="AS164" s="335"/>
      <c r="AT164" s="335"/>
      <c r="AU164" s="335"/>
      <c r="AV164" s="335"/>
      <c r="AW164" s="335"/>
      <c r="AX164" s="335"/>
      <c r="AY164" s="335"/>
      <c r="AZ164" s="335"/>
    </row>
    <row r="165" spans="1:52" ht="15.75" customHeight="1">
      <c r="A165" s="335"/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335"/>
      <c r="AB165" s="335"/>
      <c r="AC165" s="335"/>
      <c r="AD165" s="335"/>
      <c r="AE165" s="335"/>
      <c r="AF165" s="335"/>
      <c r="AG165" s="335"/>
      <c r="AH165" s="335"/>
      <c r="AI165" s="335"/>
      <c r="AJ165" s="335"/>
      <c r="AK165" s="335"/>
      <c r="AL165" s="335"/>
      <c r="AM165" s="335"/>
      <c r="AN165" s="335"/>
      <c r="AO165" s="335"/>
      <c r="AP165" s="335"/>
      <c r="AQ165" s="335"/>
      <c r="AR165" s="335"/>
      <c r="AS165" s="335"/>
      <c r="AT165" s="335"/>
      <c r="AU165" s="335"/>
      <c r="AV165" s="335"/>
      <c r="AW165" s="335"/>
      <c r="AX165" s="335"/>
      <c r="AY165" s="335"/>
      <c r="AZ165" s="335"/>
    </row>
    <row r="166" spans="1:52" ht="15.75" customHeight="1">
      <c r="A166" s="335"/>
      <c r="B166" s="335"/>
      <c r="C166" s="335"/>
      <c r="D166" s="335"/>
      <c r="E166" s="335"/>
      <c r="F166" s="335"/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  <c r="AA166" s="335"/>
      <c r="AB166" s="335"/>
      <c r="AC166" s="335"/>
      <c r="AD166" s="335"/>
      <c r="AE166" s="335"/>
      <c r="AF166" s="335"/>
      <c r="AG166" s="335"/>
      <c r="AH166" s="335"/>
      <c r="AI166" s="335"/>
      <c r="AJ166" s="335"/>
      <c r="AK166" s="335"/>
      <c r="AL166" s="335"/>
      <c r="AM166" s="335"/>
      <c r="AN166" s="335"/>
      <c r="AO166" s="335"/>
      <c r="AP166" s="335"/>
      <c r="AQ166" s="335"/>
      <c r="AR166" s="335"/>
      <c r="AS166" s="335"/>
      <c r="AT166" s="335"/>
      <c r="AU166" s="335"/>
      <c r="AV166" s="335"/>
      <c r="AW166" s="335"/>
      <c r="AX166" s="335"/>
      <c r="AY166" s="335"/>
      <c r="AZ166" s="335"/>
    </row>
    <row r="167" spans="1:52" ht="15.75" customHeight="1">
      <c r="A167" s="335"/>
      <c r="B167" s="335"/>
      <c r="C167" s="335"/>
      <c r="D167" s="335"/>
      <c r="E167" s="335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  <c r="AA167" s="335"/>
      <c r="AB167" s="335"/>
      <c r="AC167" s="335"/>
      <c r="AD167" s="335"/>
      <c r="AE167" s="335"/>
      <c r="AF167" s="335"/>
      <c r="AG167" s="335"/>
      <c r="AH167" s="335"/>
      <c r="AI167" s="335"/>
      <c r="AJ167" s="335"/>
      <c r="AK167" s="335"/>
      <c r="AL167" s="335"/>
      <c r="AM167" s="335"/>
      <c r="AN167" s="335"/>
      <c r="AO167" s="335"/>
      <c r="AP167" s="335"/>
      <c r="AQ167" s="335"/>
      <c r="AR167" s="335"/>
      <c r="AS167" s="335"/>
      <c r="AT167" s="335"/>
      <c r="AU167" s="335"/>
      <c r="AV167" s="335"/>
      <c r="AW167" s="335"/>
      <c r="AX167" s="335"/>
      <c r="AY167" s="335"/>
      <c r="AZ167" s="335"/>
    </row>
    <row r="168" spans="1:52" ht="15.75" customHeight="1">
      <c r="A168" s="335"/>
      <c r="B168" s="335"/>
      <c r="C168" s="335"/>
      <c r="D168" s="335"/>
      <c r="E168" s="335"/>
      <c r="F168" s="335"/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  <c r="AA168" s="335"/>
      <c r="AB168" s="335"/>
      <c r="AC168" s="335"/>
      <c r="AD168" s="335"/>
      <c r="AE168" s="335"/>
      <c r="AF168" s="335"/>
      <c r="AG168" s="335"/>
      <c r="AH168" s="335"/>
      <c r="AI168" s="335"/>
      <c r="AJ168" s="335"/>
      <c r="AK168" s="335"/>
      <c r="AL168" s="335"/>
      <c r="AM168" s="335"/>
      <c r="AN168" s="335"/>
      <c r="AO168" s="335"/>
      <c r="AP168" s="335"/>
      <c r="AQ168" s="335"/>
      <c r="AR168" s="335"/>
      <c r="AS168" s="335"/>
      <c r="AT168" s="335"/>
      <c r="AU168" s="335"/>
      <c r="AV168" s="335"/>
      <c r="AW168" s="335"/>
      <c r="AX168" s="335"/>
      <c r="AY168" s="335"/>
      <c r="AZ168" s="335"/>
    </row>
    <row r="169" spans="1:52" ht="15.75" customHeight="1">
      <c r="A169" s="335"/>
      <c r="B169" s="335"/>
      <c r="C169" s="335"/>
      <c r="D169" s="335"/>
      <c r="E169" s="335"/>
      <c r="F169" s="335"/>
      <c r="G169" s="335"/>
      <c r="H169" s="335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  <c r="AA169" s="335"/>
      <c r="AB169" s="335"/>
      <c r="AC169" s="335"/>
      <c r="AD169" s="335"/>
      <c r="AE169" s="335"/>
      <c r="AF169" s="335"/>
      <c r="AG169" s="335"/>
      <c r="AH169" s="335"/>
      <c r="AI169" s="335"/>
      <c r="AJ169" s="335"/>
      <c r="AK169" s="335"/>
      <c r="AL169" s="335"/>
      <c r="AM169" s="335"/>
      <c r="AN169" s="335"/>
      <c r="AO169" s="335"/>
      <c r="AP169" s="335"/>
      <c r="AQ169" s="335"/>
      <c r="AR169" s="335"/>
      <c r="AS169" s="335"/>
      <c r="AT169" s="335"/>
      <c r="AU169" s="335"/>
      <c r="AV169" s="335"/>
      <c r="AW169" s="335"/>
      <c r="AX169" s="335"/>
      <c r="AY169" s="335"/>
      <c r="AZ169" s="335"/>
    </row>
    <row r="170" spans="1:52" ht="15.75" customHeight="1">
      <c r="A170" s="335"/>
      <c r="B170" s="335"/>
      <c r="C170" s="335"/>
      <c r="D170" s="335"/>
      <c r="E170" s="335"/>
      <c r="F170" s="335"/>
      <c r="G170" s="335"/>
      <c r="H170" s="335"/>
      <c r="I170" s="335"/>
      <c r="J170" s="335"/>
      <c r="K170" s="335"/>
      <c r="L170" s="335"/>
      <c r="M170" s="335"/>
      <c r="N170" s="335"/>
      <c r="O170" s="335"/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  <c r="AA170" s="335"/>
      <c r="AB170" s="335"/>
      <c r="AC170" s="335"/>
      <c r="AD170" s="335"/>
      <c r="AE170" s="335"/>
      <c r="AF170" s="335"/>
      <c r="AG170" s="335"/>
      <c r="AH170" s="335"/>
      <c r="AI170" s="335"/>
      <c r="AJ170" s="335"/>
      <c r="AK170" s="335"/>
      <c r="AL170" s="335"/>
      <c r="AM170" s="335"/>
      <c r="AN170" s="335"/>
      <c r="AO170" s="335"/>
      <c r="AP170" s="335"/>
      <c r="AQ170" s="335"/>
      <c r="AR170" s="335"/>
      <c r="AS170" s="335"/>
      <c r="AT170" s="335"/>
      <c r="AU170" s="335"/>
      <c r="AV170" s="335"/>
      <c r="AW170" s="335"/>
      <c r="AX170" s="335"/>
      <c r="AY170" s="335"/>
      <c r="AZ170" s="335"/>
    </row>
    <row r="171" spans="1:52" ht="15.75" customHeight="1">
      <c r="A171" s="335"/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335"/>
      <c r="AB171" s="335"/>
      <c r="AC171" s="335"/>
      <c r="AD171" s="335"/>
      <c r="AE171" s="335"/>
      <c r="AF171" s="335"/>
      <c r="AG171" s="335"/>
      <c r="AH171" s="335"/>
      <c r="AI171" s="335"/>
      <c r="AJ171" s="335"/>
      <c r="AK171" s="335"/>
      <c r="AL171" s="335"/>
      <c r="AM171" s="335"/>
      <c r="AN171" s="335"/>
      <c r="AO171" s="335"/>
      <c r="AP171" s="335"/>
      <c r="AQ171" s="335"/>
      <c r="AR171" s="335"/>
      <c r="AS171" s="335"/>
      <c r="AT171" s="335"/>
      <c r="AU171" s="335"/>
      <c r="AV171" s="335"/>
      <c r="AW171" s="335"/>
      <c r="AX171" s="335"/>
      <c r="AY171" s="335"/>
      <c r="AZ171" s="335"/>
    </row>
    <row r="172" spans="1:52" ht="15.75" customHeight="1">
      <c r="A172" s="335"/>
      <c r="B172" s="335"/>
      <c r="C172" s="335"/>
      <c r="D172" s="335"/>
      <c r="E172" s="335"/>
      <c r="F172" s="335"/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  <c r="AA172" s="335"/>
      <c r="AB172" s="335"/>
      <c r="AC172" s="335"/>
      <c r="AD172" s="335"/>
      <c r="AE172" s="335"/>
      <c r="AF172" s="335"/>
      <c r="AG172" s="335"/>
      <c r="AH172" s="335"/>
      <c r="AI172" s="335"/>
      <c r="AJ172" s="335"/>
      <c r="AK172" s="335"/>
      <c r="AL172" s="335"/>
      <c r="AM172" s="335"/>
      <c r="AN172" s="335"/>
      <c r="AO172" s="335"/>
      <c r="AP172" s="335"/>
      <c r="AQ172" s="335"/>
      <c r="AR172" s="335"/>
      <c r="AS172" s="335"/>
      <c r="AT172" s="335"/>
      <c r="AU172" s="335"/>
      <c r="AV172" s="335"/>
      <c r="AW172" s="335"/>
      <c r="AX172" s="335"/>
      <c r="AY172" s="335"/>
      <c r="AZ172" s="335"/>
    </row>
    <row r="173" spans="1:52" ht="15.75" customHeight="1">
      <c r="A173" s="335"/>
      <c r="B173" s="335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  <c r="AA173" s="335"/>
      <c r="AB173" s="335"/>
      <c r="AC173" s="335"/>
      <c r="AD173" s="335"/>
      <c r="AE173" s="335"/>
      <c r="AF173" s="335"/>
      <c r="AG173" s="335"/>
      <c r="AH173" s="335"/>
      <c r="AI173" s="335"/>
      <c r="AJ173" s="335"/>
      <c r="AK173" s="335"/>
      <c r="AL173" s="335"/>
      <c r="AM173" s="335"/>
      <c r="AN173" s="335"/>
      <c r="AO173" s="335"/>
      <c r="AP173" s="335"/>
      <c r="AQ173" s="335"/>
      <c r="AR173" s="335"/>
      <c r="AS173" s="335"/>
      <c r="AT173" s="335"/>
      <c r="AU173" s="335"/>
      <c r="AV173" s="335"/>
      <c r="AW173" s="335"/>
      <c r="AX173" s="335"/>
      <c r="AY173" s="335"/>
      <c r="AZ173" s="335"/>
    </row>
    <row r="174" spans="1:52" ht="15.75" customHeight="1">
      <c r="A174" s="335"/>
      <c r="B174" s="335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  <c r="AA174" s="335"/>
      <c r="AB174" s="335"/>
      <c r="AC174" s="335"/>
      <c r="AD174" s="335"/>
      <c r="AE174" s="335"/>
      <c r="AF174" s="335"/>
      <c r="AG174" s="335"/>
      <c r="AH174" s="335"/>
      <c r="AI174" s="335"/>
      <c r="AJ174" s="335"/>
      <c r="AK174" s="335"/>
      <c r="AL174" s="335"/>
      <c r="AM174" s="335"/>
      <c r="AN174" s="335"/>
      <c r="AO174" s="335"/>
      <c r="AP174" s="335"/>
      <c r="AQ174" s="335"/>
      <c r="AR174" s="335"/>
      <c r="AS174" s="335"/>
      <c r="AT174" s="335"/>
      <c r="AU174" s="335"/>
      <c r="AV174" s="335"/>
      <c r="AW174" s="335"/>
      <c r="AX174" s="335"/>
      <c r="AY174" s="335"/>
      <c r="AZ174" s="335"/>
    </row>
    <row r="175" spans="1:52" ht="15.75" customHeight="1">
      <c r="A175" s="335"/>
      <c r="B175" s="335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  <c r="M175" s="335"/>
      <c r="N175" s="335"/>
      <c r="O175" s="335"/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  <c r="AA175" s="335"/>
      <c r="AB175" s="335"/>
      <c r="AC175" s="335"/>
      <c r="AD175" s="335"/>
      <c r="AE175" s="335"/>
      <c r="AF175" s="335"/>
      <c r="AG175" s="335"/>
      <c r="AH175" s="335"/>
      <c r="AI175" s="335"/>
      <c r="AJ175" s="335"/>
      <c r="AK175" s="335"/>
      <c r="AL175" s="335"/>
      <c r="AM175" s="335"/>
      <c r="AN175" s="335"/>
      <c r="AO175" s="335"/>
      <c r="AP175" s="335"/>
      <c r="AQ175" s="335"/>
      <c r="AR175" s="335"/>
      <c r="AS175" s="335"/>
      <c r="AT175" s="335"/>
      <c r="AU175" s="335"/>
      <c r="AV175" s="335"/>
      <c r="AW175" s="335"/>
      <c r="AX175" s="335"/>
      <c r="AY175" s="335"/>
      <c r="AZ175" s="335"/>
    </row>
    <row r="176" spans="1:52" ht="15.75" customHeight="1">
      <c r="A176" s="335"/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335"/>
      <c r="AB176" s="335"/>
      <c r="AC176" s="335"/>
      <c r="AD176" s="335"/>
      <c r="AE176" s="335"/>
      <c r="AF176" s="335"/>
      <c r="AG176" s="335"/>
      <c r="AH176" s="335"/>
      <c r="AI176" s="335"/>
      <c r="AJ176" s="335"/>
      <c r="AK176" s="335"/>
      <c r="AL176" s="335"/>
      <c r="AM176" s="335"/>
      <c r="AN176" s="335"/>
      <c r="AO176" s="335"/>
      <c r="AP176" s="335"/>
      <c r="AQ176" s="335"/>
      <c r="AR176" s="335"/>
      <c r="AS176" s="335"/>
      <c r="AT176" s="335"/>
      <c r="AU176" s="335"/>
      <c r="AV176" s="335"/>
      <c r="AW176" s="335"/>
      <c r="AX176" s="335"/>
      <c r="AY176" s="335"/>
      <c r="AZ176" s="335"/>
    </row>
    <row r="177" spans="1:52" ht="15.75" customHeight="1">
      <c r="A177" s="335"/>
      <c r="B177" s="335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  <c r="AA177" s="335"/>
      <c r="AB177" s="335"/>
      <c r="AC177" s="335"/>
      <c r="AD177" s="335"/>
      <c r="AE177" s="335"/>
      <c r="AF177" s="335"/>
      <c r="AG177" s="335"/>
      <c r="AH177" s="335"/>
      <c r="AI177" s="335"/>
      <c r="AJ177" s="335"/>
      <c r="AK177" s="335"/>
      <c r="AL177" s="335"/>
      <c r="AM177" s="335"/>
      <c r="AN177" s="335"/>
      <c r="AO177" s="335"/>
      <c r="AP177" s="335"/>
      <c r="AQ177" s="335"/>
      <c r="AR177" s="335"/>
      <c r="AS177" s="335"/>
      <c r="AT177" s="335"/>
      <c r="AU177" s="335"/>
      <c r="AV177" s="335"/>
      <c r="AW177" s="335"/>
      <c r="AX177" s="335"/>
      <c r="AY177" s="335"/>
      <c r="AZ177" s="335"/>
    </row>
    <row r="178" spans="1:52" ht="15.75" customHeight="1">
      <c r="A178" s="335"/>
      <c r="B178" s="335"/>
      <c r="C178" s="335"/>
      <c r="D178" s="335"/>
      <c r="E178" s="335"/>
      <c r="F178" s="335"/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  <c r="AA178" s="335"/>
      <c r="AB178" s="335"/>
      <c r="AC178" s="335"/>
      <c r="AD178" s="335"/>
      <c r="AE178" s="335"/>
      <c r="AF178" s="335"/>
      <c r="AG178" s="335"/>
      <c r="AH178" s="335"/>
      <c r="AI178" s="335"/>
      <c r="AJ178" s="335"/>
      <c r="AK178" s="335"/>
      <c r="AL178" s="335"/>
      <c r="AM178" s="335"/>
      <c r="AN178" s="335"/>
      <c r="AO178" s="335"/>
      <c r="AP178" s="335"/>
      <c r="AQ178" s="335"/>
      <c r="AR178" s="335"/>
      <c r="AS178" s="335"/>
      <c r="AT178" s="335"/>
      <c r="AU178" s="335"/>
      <c r="AV178" s="335"/>
      <c r="AW178" s="335"/>
      <c r="AX178" s="335"/>
      <c r="AY178" s="335"/>
      <c r="AZ178" s="335"/>
    </row>
    <row r="179" spans="1:52" ht="15.75" customHeight="1">
      <c r="A179" s="335"/>
      <c r="B179" s="335"/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5"/>
      <c r="O179" s="335"/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  <c r="AA179" s="335"/>
      <c r="AB179" s="335"/>
      <c r="AC179" s="335"/>
      <c r="AD179" s="335"/>
      <c r="AE179" s="335"/>
      <c r="AF179" s="335"/>
      <c r="AG179" s="335"/>
      <c r="AH179" s="335"/>
      <c r="AI179" s="335"/>
      <c r="AJ179" s="335"/>
      <c r="AK179" s="335"/>
      <c r="AL179" s="335"/>
      <c r="AM179" s="335"/>
      <c r="AN179" s="335"/>
      <c r="AO179" s="335"/>
      <c r="AP179" s="335"/>
      <c r="AQ179" s="335"/>
      <c r="AR179" s="335"/>
      <c r="AS179" s="335"/>
      <c r="AT179" s="335"/>
      <c r="AU179" s="335"/>
      <c r="AV179" s="335"/>
      <c r="AW179" s="335"/>
      <c r="AX179" s="335"/>
      <c r="AY179" s="335"/>
      <c r="AZ179" s="335"/>
    </row>
    <row r="180" spans="1:52" ht="15.75" customHeight="1">
      <c r="A180" s="335"/>
      <c r="B180" s="335"/>
      <c r="C180" s="335"/>
      <c r="D180" s="335"/>
      <c r="E180" s="335"/>
      <c r="F180" s="335"/>
      <c r="G180" s="335"/>
      <c r="H180" s="335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  <c r="AA180" s="335"/>
      <c r="AB180" s="335"/>
      <c r="AC180" s="335"/>
      <c r="AD180" s="335"/>
      <c r="AE180" s="335"/>
      <c r="AF180" s="335"/>
      <c r="AG180" s="335"/>
      <c r="AH180" s="335"/>
      <c r="AI180" s="335"/>
      <c r="AJ180" s="335"/>
      <c r="AK180" s="335"/>
      <c r="AL180" s="335"/>
      <c r="AM180" s="335"/>
      <c r="AN180" s="335"/>
      <c r="AO180" s="335"/>
      <c r="AP180" s="335"/>
      <c r="AQ180" s="335"/>
      <c r="AR180" s="335"/>
      <c r="AS180" s="335"/>
      <c r="AT180" s="335"/>
      <c r="AU180" s="335"/>
      <c r="AV180" s="335"/>
      <c r="AW180" s="335"/>
      <c r="AX180" s="335"/>
      <c r="AY180" s="335"/>
      <c r="AZ180" s="335"/>
    </row>
    <row r="181" spans="1:52" ht="15.75" customHeight="1">
      <c r="A181" s="335"/>
      <c r="B181" s="335"/>
      <c r="C181" s="335"/>
      <c r="D181" s="335"/>
      <c r="E181" s="335"/>
      <c r="F181" s="335"/>
      <c r="G181" s="335"/>
      <c r="H181" s="335"/>
      <c r="I181" s="335"/>
      <c r="J181" s="335"/>
      <c r="K181" s="335"/>
      <c r="L181" s="335"/>
      <c r="M181" s="335"/>
      <c r="N181" s="335"/>
      <c r="O181" s="335"/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  <c r="AA181" s="335"/>
      <c r="AB181" s="335"/>
      <c r="AC181" s="335"/>
      <c r="AD181" s="335"/>
      <c r="AE181" s="335"/>
      <c r="AF181" s="335"/>
      <c r="AG181" s="335"/>
      <c r="AH181" s="335"/>
      <c r="AI181" s="335"/>
      <c r="AJ181" s="335"/>
      <c r="AK181" s="335"/>
      <c r="AL181" s="335"/>
      <c r="AM181" s="335"/>
      <c r="AN181" s="335"/>
      <c r="AO181" s="335"/>
      <c r="AP181" s="335"/>
      <c r="AQ181" s="335"/>
      <c r="AR181" s="335"/>
      <c r="AS181" s="335"/>
      <c r="AT181" s="335"/>
      <c r="AU181" s="335"/>
      <c r="AV181" s="335"/>
      <c r="AW181" s="335"/>
      <c r="AX181" s="335"/>
      <c r="AY181" s="335"/>
      <c r="AZ181" s="335"/>
    </row>
    <row r="182" spans="1:52" ht="15.75" customHeight="1">
      <c r="A182" s="335"/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335"/>
      <c r="AB182" s="335"/>
      <c r="AC182" s="335"/>
      <c r="AD182" s="335"/>
      <c r="AE182" s="335"/>
      <c r="AF182" s="335"/>
      <c r="AG182" s="335"/>
      <c r="AH182" s="335"/>
      <c r="AI182" s="335"/>
      <c r="AJ182" s="335"/>
      <c r="AK182" s="335"/>
      <c r="AL182" s="335"/>
      <c r="AM182" s="335"/>
      <c r="AN182" s="335"/>
      <c r="AO182" s="335"/>
      <c r="AP182" s="335"/>
      <c r="AQ182" s="335"/>
      <c r="AR182" s="335"/>
      <c r="AS182" s="335"/>
      <c r="AT182" s="335"/>
      <c r="AU182" s="335"/>
      <c r="AV182" s="335"/>
      <c r="AW182" s="335"/>
      <c r="AX182" s="335"/>
      <c r="AY182" s="335"/>
      <c r="AZ182" s="335"/>
    </row>
    <row r="183" spans="1:52" ht="15.75" customHeight="1">
      <c r="A183" s="335"/>
      <c r="B183" s="335"/>
      <c r="C183" s="335"/>
      <c r="D183" s="335"/>
      <c r="E183" s="335"/>
      <c r="F183" s="335"/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  <c r="AA183" s="335"/>
      <c r="AB183" s="335"/>
      <c r="AC183" s="335"/>
      <c r="AD183" s="335"/>
      <c r="AE183" s="335"/>
      <c r="AF183" s="335"/>
      <c r="AG183" s="335"/>
      <c r="AH183" s="335"/>
      <c r="AI183" s="335"/>
      <c r="AJ183" s="335"/>
      <c r="AK183" s="335"/>
      <c r="AL183" s="335"/>
      <c r="AM183" s="335"/>
      <c r="AN183" s="335"/>
      <c r="AO183" s="335"/>
      <c r="AP183" s="335"/>
      <c r="AQ183" s="335"/>
      <c r="AR183" s="335"/>
      <c r="AS183" s="335"/>
      <c r="AT183" s="335"/>
      <c r="AU183" s="335"/>
      <c r="AV183" s="335"/>
      <c r="AW183" s="335"/>
      <c r="AX183" s="335"/>
      <c r="AY183" s="335"/>
      <c r="AZ183" s="335"/>
    </row>
    <row r="184" spans="1:52" ht="15.75" customHeight="1">
      <c r="A184" s="335"/>
      <c r="B184" s="335"/>
      <c r="C184" s="335"/>
      <c r="D184" s="335"/>
      <c r="E184" s="335"/>
      <c r="F184" s="335"/>
      <c r="G184" s="335"/>
      <c r="H184" s="335"/>
      <c r="I184" s="335"/>
      <c r="J184" s="335"/>
      <c r="K184" s="335"/>
      <c r="L184" s="335"/>
      <c r="M184" s="335"/>
      <c r="N184" s="335"/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  <c r="AA184" s="335"/>
      <c r="AB184" s="335"/>
      <c r="AC184" s="335"/>
      <c r="AD184" s="335"/>
      <c r="AE184" s="335"/>
      <c r="AF184" s="335"/>
      <c r="AG184" s="335"/>
      <c r="AH184" s="335"/>
      <c r="AI184" s="335"/>
      <c r="AJ184" s="335"/>
      <c r="AK184" s="335"/>
      <c r="AL184" s="335"/>
      <c r="AM184" s="335"/>
      <c r="AN184" s="335"/>
      <c r="AO184" s="335"/>
      <c r="AP184" s="335"/>
      <c r="AQ184" s="335"/>
      <c r="AR184" s="335"/>
      <c r="AS184" s="335"/>
      <c r="AT184" s="335"/>
      <c r="AU184" s="335"/>
      <c r="AV184" s="335"/>
      <c r="AW184" s="335"/>
      <c r="AX184" s="335"/>
      <c r="AY184" s="335"/>
      <c r="AZ184" s="335"/>
    </row>
    <row r="185" spans="1:52" ht="15.75" customHeight="1">
      <c r="A185" s="335"/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5"/>
      <c r="Z185" s="335"/>
      <c r="AA185" s="335"/>
      <c r="AB185" s="335"/>
      <c r="AC185" s="335"/>
      <c r="AD185" s="335"/>
      <c r="AE185" s="335"/>
      <c r="AF185" s="335"/>
      <c r="AG185" s="335"/>
      <c r="AH185" s="335"/>
      <c r="AI185" s="335"/>
      <c r="AJ185" s="335"/>
      <c r="AK185" s="335"/>
      <c r="AL185" s="335"/>
      <c r="AM185" s="335"/>
      <c r="AN185" s="335"/>
      <c r="AO185" s="335"/>
      <c r="AP185" s="335"/>
      <c r="AQ185" s="335"/>
      <c r="AR185" s="335"/>
      <c r="AS185" s="335"/>
      <c r="AT185" s="335"/>
      <c r="AU185" s="335"/>
      <c r="AV185" s="335"/>
      <c r="AW185" s="335"/>
      <c r="AX185" s="335"/>
      <c r="AY185" s="335"/>
      <c r="AZ185" s="335"/>
    </row>
    <row r="186" spans="1:52" ht="15.75" customHeight="1">
      <c r="A186" s="335"/>
      <c r="B186" s="335"/>
      <c r="C186" s="335"/>
      <c r="D186" s="335"/>
      <c r="E186" s="335"/>
      <c r="F186" s="335"/>
      <c r="G186" s="335"/>
      <c r="H186" s="335"/>
      <c r="I186" s="335"/>
      <c r="J186" s="335"/>
      <c r="K186" s="335"/>
      <c r="L186" s="335"/>
      <c r="M186" s="335"/>
      <c r="N186" s="335"/>
      <c r="O186" s="335"/>
      <c r="P186" s="335"/>
      <c r="Q186" s="335"/>
      <c r="R186" s="335"/>
      <c r="S186" s="335"/>
      <c r="T186" s="335"/>
      <c r="U186" s="335"/>
      <c r="V186" s="335"/>
      <c r="W186" s="335"/>
      <c r="X186" s="335"/>
      <c r="Y186" s="335"/>
      <c r="Z186" s="335"/>
      <c r="AA186" s="335"/>
      <c r="AB186" s="335"/>
      <c r="AC186" s="335"/>
      <c r="AD186" s="335"/>
      <c r="AE186" s="335"/>
      <c r="AF186" s="335"/>
      <c r="AG186" s="335"/>
      <c r="AH186" s="335"/>
      <c r="AI186" s="335"/>
      <c r="AJ186" s="335"/>
      <c r="AK186" s="335"/>
      <c r="AL186" s="335"/>
      <c r="AM186" s="335"/>
      <c r="AN186" s="335"/>
      <c r="AO186" s="335"/>
      <c r="AP186" s="335"/>
      <c r="AQ186" s="335"/>
      <c r="AR186" s="335"/>
      <c r="AS186" s="335"/>
      <c r="AT186" s="335"/>
      <c r="AU186" s="335"/>
      <c r="AV186" s="335"/>
      <c r="AW186" s="335"/>
      <c r="AX186" s="335"/>
      <c r="AY186" s="335"/>
      <c r="AZ186" s="335"/>
    </row>
    <row r="187" spans="1:52" ht="15.75" customHeight="1">
      <c r="A187" s="335"/>
      <c r="B187" s="335"/>
      <c r="C187" s="335"/>
      <c r="D187" s="335"/>
      <c r="E187" s="335"/>
      <c r="F187" s="335"/>
      <c r="G187" s="335"/>
      <c r="H187" s="335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5"/>
      <c r="V187" s="335"/>
      <c r="W187" s="335"/>
      <c r="X187" s="335"/>
      <c r="Y187" s="335"/>
      <c r="Z187" s="335"/>
      <c r="AA187" s="335"/>
      <c r="AB187" s="335"/>
      <c r="AC187" s="335"/>
      <c r="AD187" s="335"/>
      <c r="AE187" s="335"/>
      <c r="AF187" s="335"/>
      <c r="AG187" s="335"/>
      <c r="AH187" s="335"/>
      <c r="AI187" s="335"/>
      <c r="AJ187" s="335"/>
      <c r="AK187" s="335"/>
      <c r="AL187" s="335"/>
      <c r="AM187" s="335"/>
      <c r="AN187" s="335"/>
      <c r="AO187" s="335"/>
      <c r="AP187" s="335"/>
      <c r="AQ187" s="335"/>
      <c r="AR187" s="335"/>
      <c r="AS187" s="335"/>
      <c r="AT187" s="335"/>
      <c r="AU187" s="335"/>
      <c r="AV187" s="335"/>
      <c r="AW187" s="335"/>
      <c r="AX187" s="335"/>
      <c r="AY187" s="335"/>
      <c r="AZ187" s="335"/>
    </row>
    <row r="188" spans="1:52" ht="15.75" customHeight="1">
      <c r="A188" s="335"/>
      <c r="B188" s="335"/>
      <c r="C188" s="335"/>
      <c r="D188" s="335"/>
      <c r="E188" s="335"/>
      <c r="F188" s="335"/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  <c r="AA188" s="335"/>
      <c r="AB188" s="335"/>
      <c r="AC188" s="335"/>
      <c r="AD188" s="335"/>
      <c r="AE188" s="335"/>
      <c r="AF188" s="335"/>
      <c r="AG188" s="335"/>
      <c r="AH188" s="335"/>
      <c r="AI188" s="335"/>
      <c r="AJ188" s="335"/>
      <c r="AK188" s="335"/>
      <c r="AL188" s="335"/>
      <c r="AM188" s="335"/>
      <c r="AN188" s="335"/>
      <c r="AO188" s="335"/>
      <c r="AP188" s="335"/>
      <c r="AQ188" s="335"/>
      <c r="AR188" s="335"/>
      <c r="AS188" s="335"/>
      <c r="AT188" s="335"/>
      <c r="AU188" s="335"/>
      <c r="AV188" s="335"/>
      <c r="AW188" s="335"/>
      <c r="AX188" s="335"/>
      <c r="AY188" s="335"/>
      <c r="AZ188" s="335"/>
    </row>
    <row r="189" spans="1:52" ht="15.75" customHeight="1">
      <c r="A189" s="335"/>
      <c r="B189" s="335"/>
      <c r="C189" s="335"/>
      <c r="D189" s="335"/>
      <c r="E189" s="335"/>
      <c r="F189" s="335"/>
      <c r="G189" s="335"/>
      <c r="H189" s="335"/>
      <c r="I189" s="335"/>
      <c r="J189" s="335"/>
      <c r="K189" s="335"/>
      <c r="L189" s="335"/>
      <c r="M189" s="335"/>
      <c r="N189" s="335"/>
      <c r="O189" s="335"/>
      <c r="P189" s="335"/>
      <c r="Q189" s="335"/>
      <c r="R189" s="335"/>
      <c r="S189" s="335"/>
      <c r="T189" s="335"/>
      <c r="U189" s="335"/>
      <c r="V189" s="335"/>
      <c r="W189" s="335"/>
      <c r="X189" s="335"/>
      <c r="Y189" s="335"/>
      <c r="Z189" s="335"/>
      <c r="AA189" s="335"/>
      <c r="AB189" s="335"/>
      <c r="AC189" s="335"/>
      <c r="AD189" s="335"/>
      <c r="AE189" s="335"/>
      <c r="AF189" s="335"/>
      <c r="AG189" s="335"/>
      <c r="AH189" s="335"/>
      <c r="AI189" s="335"/>
      <c r="AJ189" s="335"/>
      <c r="AK189" s="335"/>
      <c r="AL189" s="335"/>
      <c r="AM189" s="335"/>
      <c r="AN189" s="335"/>
      <c r="AO189" s="335"/>
      <c r="AP189" s="335"/>
      <c r="AQ189" s="335"/>
      <c r="AR189" s="335"/>
      <c r="AS189" s="335"/>
      <c r="AT189" s="335"/>
      <c r="AU189" s="335"/>
      <c r="AV189" s="335"/>
      <c r="AW189" s="335"/>
      <c r="AX189" s="335"/>
      <c r="AY189" s="335"/>
      <c r="AZ189" s="335"/>
    </row>
    <row r="190" spans="1:52" ht="15.75" customHeight="1">
      <c r="A190" s="335"/>
      <c r="B190" s="335"/>
      <c r="C190" s="335"/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  <c r="AA190" s="335"/>
      <c r="AB190" s="335"/>
      <c r="AC190" s="335"/>
      <c r="AD190" s="335"/>
      <c r="AE190" s="335"/>
      <c r="AF190" s="335"/>
      <c r="AG190" s="335"/>
      <c r="AH190" s="335"/>
      <c r="AI190" s="335"/>
      <c r="AJ190" s="335"/>
      <c r="AK190" s="335"/>
      <c r="AL190" s="335"/>
      <c r="AM190" s="335"/>
      <c r="AN190" s="335"/>
      <c r="AO190" s="335"/>
      <c r="AP190" s="335"/>
      <c r="AQ190" s="335"/>
      <c r="AR190" s="335"/>
      <c r="AS190" s="335"/>
      <c r="AT190" s="335"/>
      <c r="AU190" s="335"/>
      <c r="AV190" s="335"/>
      <c r="AW190" s="335"/>
      <c r="AX190" s="335"/>
      <c r="AY190" s="335"/>
      <c r="AZ190" s="335"/>
    </row>
    <row r="191" spans="1:52" ht="15.75" customHeight="1">
      <c r="A191" s="335"/>
      <c r="B191" s="335"/>
      <c r="C191" s="335"/>
      <c r="D191" s="335"/>
      <c r="E191" s="335"/>
      <c r="F191" s="335"/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  <c r="AA191" s="335"/>
      <c r="AB191" s="335"/>
      <c r="AC191" s="335"/>
      <c r="AD191" s="335"/>
      <c r="AE191" s="335"/>
      <c r="AF191" s="335"/>
      <c r="AG191" s="335"/>
      <c r="AH191" s="335"/>
      <c r="AI191" s="335"/>
      <c r="AJ191" s="335"/>
      <c r="AK191" s="335"/>
      <c r="AL191" s="335"/>
      <c r="AM191" s="335"/>
      <c r="AN191" s="335"/>
      <c r="AO191" s="335"/>
      <c r="AP191" s="335"/>
      <c r="AQ191" s="335"/>
      <c r="AR191" s="335"/>
      <c r="AS191" s="335"/>
      <c r="AT191" s="335"/>
      <c r="AU191" s="335"/>
      <c r="AV191" s="335"/>
      <c r="AW191" s="335"/>
      <c r="AX191" s="335"/>
      <c r="AY191" s="335"/>
      <c r="AZ191" s="335"/>
    </row>
    <row r="192" spans="1:52" ht="15.75" customHeight="1">
      <c r="A192" s="335"/>
      <c r="B192" s="335"/>
      <c r="C192" s="335"/>
      <c r="D192" s="335"/>
      <c r="E192" s="335"/>
      <c r="F192" s="335"/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5"/>
      <c r="Z192" s="335"/>
      <c r="AA192" s="335"/>
      <c r="AB192" s="335"/>
      <c r="AC192" s="335"/>
      <c r="AD192" s="335"/>
      <c r="AE192" s="335"/>
      <c r="AF192" s="335"/>
      <c r="AG192" s="335"/>
      <c r="AH192" s="335"/>
      <c r="AI192" s="335"/>
      <c r="AJ192" s="335"/>
      <c r="AK192" s="335"/>
      <c r="AL192" s="335"/>
      <c r="AM192" s="335"/>
      <c r="AN192" s="335"/>
      <c r="AO192" s="335"/>
      <c r="AP192" s="335"/>
      <c r="AQ192" s="335"/>
      <c r="AR192" s="335"/>
      <c r="AS192" s="335"/>
      <c r="AT192" s="335"/>
      <c r="AU192" s="335"/>
      <c r="AV192" s="335"/>
      <c r="AW192" s="335"/>
      <c r="AX192" s="335"/>
      <c r="AY192" s="335"/>
      <c r="AZ192" s="335"/>
    </row>
    <row r="193" spans="1:52" ht="15.75" customHeight="1">
      <c r="A193" s="335"/>
      <c r="B193" s="335"/>
      <c r="C193" s="335"/>
      <c r="D193" s="335"/>
      <c r="E193" s="335"/>
      <c r="F193" s="335"/>
      <c r="G193" s="335"/>
      <c r="H193" s="335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5"/>
      <c r="W193" s="335"/>
      <c r="X193" s="335"/>
      <c r="Y193" s="335"/>
      <c r="Z193" s="335"/>
      <c r="AA193" s="335"/>
      <c r="AB193" s="335"/>
      <c r="AC193" s="335"/>
      <c r="AD193" s="335"/>
      <c r="AE193" s="335"/>
      <c r="AF193" s="335"/>
      <c r="AG193" s="335"/>
      <c r="AH193" s="335"/>
      <c r="AI193" s="335"/>
      <c r="AJ193" s="335"/>
      <c r="AK193" s="335"/>
      <c r="AL193" s="335"/>
      <c r="AM193" s="335"/>
      <c r="AN193" s="335"/>
      <c r="AO193" s="335"/>
      <c r="AP193" s="335"/>
      <c r="AQ193" s="335"/>
      <c r="AR193" s="335"/>
      <c r="AS193" s="335"/>
      <c r="AT193" s="335"/>
      <c r="AU193" s="335"/>
      <c r="AV193" s="335"/>
      <c r="AW193" s="335"/>
      <c r="AX193" s="335"/>
      <c r="AY193" s="335"/>
      <c r="AZ193" s="335"/>
    </row>
    <row r="194" spans="1:52" ht="15.75" customHeight="1">
      <c r="A194" s="335"/>
      <c r="B194" s="335"/>
      <c r="C194" s="335"/>
      <c r="D194" s="335"/>
      <c r="E194" s="335"/>
      <c r="F194" s="335"/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  <c r="AA194" s="335"/>
      <c r="AB194" s="335"/>
      <c r="AC194" s="335"/>
      <c r="AD194" s="335"/>
      <c r="AE194" s="335"/>
      <c r="AF194" s="335"/>
      <c r="AG194" s="335"/>
      <c r="AH194" s="335"/>
      <c r="AI194" s="335"/>
      <c r="AJ194" s="335"/>
      <c r="AK194" s="335"/>
      <c r="AL194" s="335"/>
      <c r="AM194" s="335"/>
      <c r="AN194" s="335"/>
      <c r="AO194" s="335"/>
      <c r="AP194" s="335"/>
      <c r="AQ194" s="335"/>
      <c r="AR194" s="335"/>
      <c r="AS194" s="335"/>
      <c r="AT194" s="335"/>
      <c r="AU194" s="335"/>
      <c r="AV194" s="335"/>
      <c r="AW194" s="335"/>
      <c r="AX194" s="335"/>
      <c r="AY194" s="335"/>
      <c r="AZ194" s="335"/>
    </row>
    <row r="195" spans="1:52" ht="15.75" customHeight="1">
      <c r="A195" s="335"/>
      <c r="B195" s="335"/>
      <c r="C195" s="335"/>
      <c r="D195" s="335"/>
      <c r="E195" s="335"/>
      <c r="F195" s="335"/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  <c r="AA195" s="335"/>
      <c r="AB195" s="335"/>
      <c r="AC195" s="335"/>
      <c r="AD195" s="335"/>
      <c r="AE195" s="335"/>
      <c r="AF195" s="335"/>
      <c r="AG195" s="335"/>
      <c r="AH195" s="335"/>
      <c r="AI195" s="335"/>
      <c r="AJ195" s="335"/>
      <c r="AK195" s="335"/>
      <c r="AL195" s="335"/>
      <c r="AM195" s="335"/>
      <c r="AN195" s="335"/>
      <c r="AO195" s="335"/>
      <c r="AP195" s="335"/>
      <c r="AQ195" s="335"/>
      <c r="AR195" s="335"/>
      <c r="AS195" s="335"/>
      <c r="AT195" s="335"/>
      <c r="AU195" s="335"/>
      <c r="AV195" s="335"/>
      <c r="AW195" s="335"/>
      <c r="AX195" s="335"/>
      <c r="AY195" s="335"/>
      <c r="AZ195" s="335"/>
    </row>
    <row r="196" spans="1:52" ht="15.75" customHeight="1">
      <c r="A196" s="335"/>
      <c r="B196" s="335"/>
      <c r="C196" s="335"/>
      <c r="D196" s="335"/>
      <c r="E196" s="335"/>
      <c r="F196" s="335"/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  <c r="Y196" s="335"/>
      <c r="Z196" s="335"/>
      <c r="AA196" s="335"/>
      <c r="AB196" s="335"/>
      <c r="AC196" s="335"/>
      <c r="AD196" s="335"/>
      <c r="AE196" s="335"/>
      <c r="AF196" s="335"/>
      <c r="AG196" s="335"/>
      <c r="AH196" s="335"/>
      <c r="AI196" s="335"/>
      <c r="AJ196" s="335"/>
      <c r="AK196" s="335"/>
      <c r="AL196" s="335"/>
      <c r="AM196" s="335"/>
      <c r="AN196" s="335"/>
      <c r="AO196" s="335"/>
      <c r="AP196" s="335"/>
      <c r="AQ196" s="335"/>
      <c r="AR196" s="335"/>
      <c r="AS196" s="335"/>
      <c r="AT196" s="335"/>
      <c r="AU196" s="335"/>
      <c r="AV196" s="335"/>
      <c r="AW196" s="335"/>
      <c r="AX196" s="335"/>
      <c r="AY196" s="335"/>
      <c r="AZ196" s="335"/>
    </row>
    <row r="197" spans="1:52" ht="15.75" customHeight="1">
      <c r="A197" s="335"/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  <c r="AA197" s="335"/>
      <c r="AB197" s="335"/>
      <c r="AC197" s="335"/>
      <c r="AD197" s="335"/>
      <c r="AE197" s="335"/>
      <c r="AF197" s="335"/>
      <c r="AG197" s="335"/>
      <c r="AH197" s="335"/>
      <c r="AI197" s="335"/>
      <c r="AJ197" s="335"/>
      <c r="AK197" s="335"/>
      <c r="AL197" s="335"/>
      <c r="AM197" s="335"/>
      <c r="AN197" s="335"/>
      <c r="AO197" s="335"/>
      <c r="AP197" s="335"/>
      <c r="AQ197" s="335"/>
      <c r="AR197" s="335"/>
      <c r="AS197" s="335"/>
      <c r="AT197" s="335"/>
      <c r="AU197" s="335"/>
      <c r="AV197" s="335"/>
      <c r="AW197" s="335"/>
      <c r="AX197" s="335"/>
      <c r="AY197" s="335"/>
      <c r="AZ197" s="335"/>
    </row>
    <row r="198" spans="1:52" ht="15.75" customHeight="1">
      <c r="A198" s="335"/>
      <c r="B198" s="335"/>
      <c r="C198" s="335"/>
      <c r="D198" s="335"/>
      <c r="E198" s="335"/>
      <c r="F198" s="335"/>
      <c r="G198" s="335"/>
      <c r="H198" s="335"/>
      <c r="I198" s="335"/>
      <c r="J198" s="335"/>
      <c r="K198" s="335"/>
      <c r="L198" s="335"/>
      <c r="M198" s="335"/>
      <c r="N198" s="335"/>
      <c r="O198" s="335"/>
      <c r="P198" s="335"/>
      <c r="Q198" s="335"/>
      <c r="R198" s="335"/>
      <c r="S198" s="335"/>
      <c r="T198" s="335"/>
      <c r="U198" s="335"/>
      <c r="V198" s="335"/>
      <c r="W198" s="335"/>
      <c r="X198" s="335"/>
      <c r="Y198" s="335"/>
      <c r="Z198" s="335"/>
      <c r="AA198" s="335"/>
      <c r="AB198" s="335"/>
      <c r="AC198" s="335"/>
      <c r="AD198" s="335"/>
      <c r="AE198" s="335"/>
      <c r="AF198" s="335"/>
      <c r="AG198" s="335"/>
      <c r="AH198" s="335"/>
      <c r="AI198" s="335"/>
      <c r="AJ198" s="335"/>
      <c r="AK198" s="335"/>
      <c r="AL198" s="335"/>
      <c r="AM198" s="335"/>
      <c r="AN198" s="335"/>
      <c r="AO198" s="335"/>
      <c r="AP198" s="335"/>
      <c r="AQ198" s="335"/>
      <c r="AR198" s="335"/>
      <c r="AS198" s="335"/>
      <c r="AT198" s="335"/>
      <c r="AU198" s="335"/>
      <c r="AV198" s="335"/>
      <c r="AW198" s="335"/>
      <c r="AX198" s="335"/>
      <c r="AY198" s="335"/>
      <c r="AZ198" s="335"/>
    </row>
    <row r="199" spans="1:52" ht="15.75" customHeight="1">
      <c r="A199" s="335"/>
      <c r="B199" s="335"/>
      <c r="C199" s="335"/>
      <c r="D199" s="335"/>
      <c r="E199" s="335"/>
      <c r="F199" s="335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  <c r="AA199" s="335"/>
      <c r="AB199" s="335"/>
      <c r="AC199" s="335"/>
      <c r="AD199" s="335"/>
      <c r="AE199" s="335"/>
      <c r="AF199" s="335"/>
      <c r="AG199" s="335"/>
      <c r="AH199" s="335"/>
      <c r="AI199" s="335"/>
      <c r="AJ199" s="335"/>
      <c r="AK199" s="335"/>
      <c r="AL199" s="335"/>
      <c r="AM199" s="335"/>
      <c r="AN199" s="335"/>
      <c r="AO199" s="335"/>
      <c r="AP199" s="335"/>
      <c r="AQ199" s="335"/>
      <c r="AR199" s="335"/>
      <c r="AS199" s="335"/>
      <c r="AT199" s="335"/>
      <c r="AU199" s="335"/>
      <c r="AV199" s="335"/>
      <c r="AW199" s="335"/>
      <c r="AX199" s="335"/>
      <c r="AY199" s="335"/>
      <c r="AZ199" s="335"/>
    </row>
    <row r="200" spans="1:52" ht="15.75" customHeight="1">
      <c r="A200" s="335"/>
      <c r="B200" s="335"/>
      <c r="C200" s="335"/>
      <c r="D200" s="335"/>
      <c r="E200" s="335"/>
      <c r="F200" s="335"/>
      <c r="G200" s="335"/>
      <c r="H200" s="335"/>
      <c r="I200" s="335"/>
      <c r="J200" s="335"/>
      <c r="K200" s="335"/>
      <c r="L200" s="335"/>
      <c r="M200" s="335"/>
      <c r="N200" s="335"/>
      <c r="O200" s="335"/>
      <c r="P200" s="335"/>
      <c r="Q200" s="335"/>
      <c r="R200" s="335"/>
      <c r="S200" s="335"/>
      <c r="T200" s="335"/>
      <c r="U200" s="335"/>
      <c r="V200" s="335"/>
      <c r="W200" s="335"/>
      <c r="X200" s="335"/>
      <c r="Y200" s="335"/>
      <c r="Z200" s="335"/>
      <c r="AA200" s="335"/>
      <c r="AB200" s="335"/>
      <c r="AC200" s="335"/>
      <c r="AD200" s="335"/>
      <c r="AE200" s="335"/>
      <c r="AF200" s="335"/>
      <c r="AG200" s="335"/>
      <c r="AH200" s="335"/>
      <c r="AI200" s="335"/>
      <c r="AJ200" s="335"/>
      <c r="AK200" s="335"/>
      <c r="AL200" s="335"/>
      <c r="AM200" s="335"/>
      <c r="AN200" s="335"/>
      <c r="AO200" s="335"/>
      <c r="AP200" s="335"/>
      <c r="AQ200" s="335"/>
      <c r="AR200" s="335"/>
      <c r="AS200" s="335"/>
      <c r="AT200" s="335"/>
      <c r="AU200" s="335"/>
      <c r="AV200" s="335"/>
      <c r="AW200" s="335"/>
      <c r="AX200" s="335"/>
      <c r="AY200" s="335"/>
      <c r="AZ200" s="335"/>
    </row>
    <row r="201" spans="1:52" ht="15.75" customHeight="1">
      <c r="A201" s="335"/>
      <c r="B201" s="335"/>
      <c r="C201" s="335"/>
      <c r="D201" s="335"/>
      <c r="E201" s="335"/>
      <c r="F201" s="335"/>
      <c r="G201" s="335"/>
      <c r="H201" s="335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5"/>
      <c r="W201" s="335"/>
      <c r="X201" s="335"/>
      <c r="Y201" s="335"/>
      <c r="Z201" s="335"/>
      <c r="AA201" s="335"/>
      <c r="AB201" s="335"/>
      <c r="AC201" s="335"/>
      <c r="AD201" s="335"/>
      <c r="AE201" s="335"/>
      <c r="AF201" s="335"/>
      <c r="AG201" s="335"/>
      <c r="AH201" s="335"/>
      <c r="AI201" s="335"/>
      <c r="AJ201" s="335"/>
      <c r="AK201" s="335"/>
      <c r="AL201" s="335"/>
      <c r="AM201" s="335"/>
      <c r="AN201" s="335"/>
      <c r="AO201" s="335"/>
      <c r="AP201" s="335"/>
      <c r="AQ201" s="335"/>
      <c r="AR201" s="335"/>
      <c r="AS201" s="335"/>
      <c r="AT201" s="335"/>
      <c r="AU201" s="335"/>
      <c r="AV201" s="335"/>
      <c r="AW201" s="335"/>
      <c r="AX201" s="335"/>
      <c r="AY201" s="335"/>
      <c r="AZ201" s="335"/>
    </row>
    <row r="202" spans="1:52" ht="15.75" customHeight="1">
      <c r="A202" s="335"/>
      <c r="B202" s="335"/>
      <c r="C202" s="335"/>
      <c r="D202" s="335"/>
      <c r="E202" s="335"/>
      <c r="F202" s="335"/>
      <c r="G202" s="335"/>
      <c r="H202" s="335"/>
      <c r="I202" s="335"/>
      <c r="J202" s="335"/>
      <c r="K202" s="335"/>
      <c r="L202" s="335"/>
      <c r="M202" s="335"/>
      <c r="N202" s="335"/>
      <c r="O202" s="335"/>
      <c r="P202" s="335"/>
      <c r="Q202" s="335"/>
      <c r="R202" s="335"/>
      <c r="S202" s="335"/>
      <c r="T202" s="335"/>
      <c r="U202" s="335"/>
      <c r="V202" s="335"/>
      <c r="W202" s="335"/>
      <c r="X202" s="335"/>
      <c r="Y202" s="335"/>
      <c r="Z202" s="335"/>
      <c r="AA202" s="335"/>
      <c r="AB202" s="335"/>
      <c r="AC202" s="335"/>
      <c r="AD202" s="335"/>
      <c r="AE202" s="335"/>
      <c r="AF202" s="335"/>
      <c r="AG202" s="335"/>
      <c r="AH202" s="335"/>
      <c r="AI202" s="335"/>
      <c r="AJ202" s="335"/>
      <c r="AK202" s="335"/>
      <c r="AL202" s="335"/>
      <c r="AM202" s="335"/>
      <c r="AN202" s="335"/>
      <c r="AO202" s="335"/>
      <c r="AP202" s="335"/>
      <c r="AQ202" s="335"/>
      <c r="AR202" s="335"/>
      <c r="AS202" s="335"/>
      <c r="AT202" s="335"/>
      <c r="AU202" s="335"/>
      <c r="AV202" s="335"/>
      <c r="AW202" s="335"/>
      <c r="AX202" s="335"/>
      <c r="AY202" s="335"/>
      <c r="AZ202" s="335"/>
    </row>
    <row r="203" spans="1:52" ht="15.75" customHeight="1">
      <c r="A203" s="335"/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  <c r="AA203" s="335"/>
      <c r="AB203" s="335"/>
      <c r="AC203" s="335"/>
      <c r="AD203" s="335"/>
      <c r="AE203" s="335"/>
      <c r="AF203" s="335"/>
      <c r="AG203" s="335"/>
      <c r="AH203" s="335"/>
      <c r="AI203" s="335"/>
      <c r="AJ203" s="335"/>
      <c r="AK203" s="335"/>
      <c r="AL203" s="335"/>
      <c r="AM203" s="335"/>
      <c r="AN203" s="335"/>
      <c r="AO203" s="335"/>
      <c r="AP203" s="335"/>
      <c r="AQ203" s="335"/>
      <c r="AR203" s="335"/>
      <c r="AS203" s="335"/>
      <c r="AT203" s="335"/>
      <c r="AU203" s="335"/>
      <c r="AV203" s="335"/>
      <c r="AW203" s="335"/>
      <c r="AX203" s="335"/>
      <c r="AY203" s="335"/>
      <c r="AZ203" s="335"/>
    </row>
    <row r="204" spans="1:52" ht="15.75" customHeight="1">
      <c r="A204" s="335"/>
      <c r="B204" s="335"/>
      <c r="C204" s="335"/>
      <c r="D204" s="335"/>
      <c r="E204" s="335"/>
      <c r="F204" s="335"/>
      <c r="G204" s="335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  <c r="AA204" s="335"/>
      <c r="AB204" s="335"/>
      <c r="AC204" s="335"/>
      <c r="AD204" s="335"/>
      <c r="AE204" s="335"/>
      <c r="AF204" s="335"/>
      <c r="AG204" s="335"/>
      <c r="AH204" s="335"/>
      <c r="AI204" s="335"/>
      <c r="AJ204" s="335"/>
      <c r="AK204" s="335"/>
      <c r="AL204" s="335"/>
      <c r="AM204" s="335"/>
      <c r="AN204" s="335"/>
      <c r="AO204" s="335"/>
      <c r="AP204" s="335"/>
      <c r="AQ204" s="335"/>
      <c r="AR204" s="335"/>
      <c r="AS204" s="335"/>
      <c r="AT204" s="335"/>
      <c r="AU204" s="335"/>
      <c r="AV204" s="335"/>
      <c r="AW204" s="335"/>
      <c r="AX204" s="335"/>
      <c r="AY204" s="335"/>
      <c r="AZ204" s="335"/>
    </row>
    <row r="205" spans="1:52" ht="15.75" customHeight="1">
      <c r="A205" s="335"/>
      <c r="B205" s="335"/>
      <c r="C205" s="335"/>
      <c r="D205" s="335"/>
      <c r="E205" s="335"/>
      <c r="F205" s="335"/>
      <c r="G205" s="335"/>
      <c r="H205" s="335"/>
      <c r="I205" s="335"/>
      <c r="J205" s="335"/>
      <c r="K205" s="335"/>
      <c r="L205" s="335"/>
      <c r="M205" s="335"/>
      <c r="N205" s="335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  <c r="AA205" s="335"/>
      <c r="AB205" s="335"/>
      <c r="AC205" s="335"/>
      <c r="AD205" s="335"/>
      <c r="AE205" s="335"/>
      <c r="AF205" s="335"/>
      <c r="AG205" s="335"/>
      <c r="AH205" s="335"/>
      <c r="AI205" s="335"/>
      <c r="AJ205" s="335"/>
      <c r="AK205" s="335"/>
      <c r="AL205" s="335"/>
      <c r="AM205" s="335"/>
      <c r="AN205" s="335"/>
      <c r="AO205" s="335"/>
      <c r="AP205" s="335"/>
      <c r="AQ205" s="335"/>
      <c r="AR205" s="335"/>
      <c r="AS205" s="335"/>
      <c r="AT205" s="335"/>
      <c r="AU205" s="335"/>
      <c r="AV205" s="335"/>
      <c r="AW205" s="335"/>
      <c r="AX205" s="335"/>
      <c r="AY205" s="335"/>
      <c r="AZ205" s="335"/>
    </row>
    <row r="206" spans="1:52" ht="15.75" customHeight="1">
      <c r="A206" s="335"/>
      <c r="B206" s="335"/>
      <c r="C206" s="335"/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  <c r="AA206" s="335"/>
      <c r="AB206" s="335"/>
      <c r="AC206" s="335"/>
      <c r="AD206" s="335"/>
      <c r="AE206" s="335"/>
      <c r="AF206" s="335"/>
      <c r="AG206" s="335"/>
      <c r="AH206" s="335"/>
      <c r="AI206" s="335"/>
      <c r="AJ206" s="335"/>
      <c r="AK206" s="335"/>
      <c r="AL206" s="335"/>
      <c r="AM206" s="335"/>
      <c r="AN206" s="335"/>
      <c r="AO206" s="335"/>
      <c r="AP206" s="335"/>
      <c r="AQ206" s="335"/>
      <c r="AR206" s="335"/>
      <c r="AS206" s="335"/>
      <c r="AT206" s="335"/>
      <c r="AU206" s="335"/>
      <c r="AV206" s="335"/>
      <c r="AW206" s="335"/>
      <c r="AX206" s="335"/>
      <c r="AY206" s="335"/>
      <c r="AZ206" s="335"/>
    </row>
    <row r="207" spans="1:52" ht="15.75" customHeight="1">
      <c r="A207" s="335"/>
      <c r="B207" s="335"/>
      <c r="C207" s="335"/>
      <c r="D207" s="335"/>
      <c r="E207" s="335"/>
      <c r="F207" s="335"/>
      <c r="G207" s="335"/>
      <c r="H207" s="335"/>
      <c r="I207" s="335"/>
      <c r="J207" s="335"/>
      <c r="K207" s="335"/>
      <c r="L207" s="335"/>
      <c r="M207" s="335"/>
      <c r="N207" s="335"/>
      <c r="O207" s="335"/>
      <c r="P207" s="335"/>
      <c r="Q207" s="335"/>
      <c r="R207" s="335"/>
      <c r="S207" s="335"/>
      <c r="T207" s="335"/>
      <c r="U207" s="335"/>
      <c r="V207" s="335"/>
      <c r="W207" s="335"/>
      <c r="X207" s="335"/>
      <c r="Y207" s="335"/>
      <c r="Z207" s="335"/>
      <c r="AA207" s="335"/>
      <c r="AB207" s="335"/>
      <c r="AC207" s="335"/>
      <c r="AD207" s="335"/>
      <c r="AE207" s="335"/>
      <c r="AF207" s="335"/>
      <c r="AG207" s="335"/>
      <c r="AH207" s="335"/>
      <c r="AI207" s="335"/>
      <c r="AJ207" s="335"/>
      <c r="AK207" s="335"/>
      <c r="AL207" s="335"/>
      <c r="AM207" s="335"/>
      <c r="AN207" s="335"/>
      <c r="AO207" s="335"/>
      <c r="AP207" s="335"/>
      <c r="AQ207" s="335"/>
      <c r="AR207" s="335"/>
      <c r="AS207" s="335"/>
      <c r="AT207" s="335"/>
      <c r="AU207" s="335"/>
      <c r="AV207" s="335"/>
      <c r="AW207" s="335"/>
      <c r="AX207" s="335"/>
      <c r="AY207" s="335"/>
      <c r="AZ207" s="335"/>
    </row>
    <row r="208" spans="1:52" ht="15.75" customHeight="1">
      <c r="A208" s="335"/>
      <c r="B208" s="335"/>
      <c r="C208" s="335"/>
      <c r="D208" s="335"/>
      <c r="E208" s="335"/>
      <c r="F208" s="335"/>
      <c r="G208" s="335"/>
      <c r="H208" s="335"/>
      <c r="I208" s="335"/>
      <c r="J208" s="335"/>
      <c r="K208" s="335"/>
      <c r="L208" s="335"/>
      <c r="M208" s="335"/>
      <c r="N208" s="335"/>
      <c r="O208" s="335"/>
      <c r="P208" s="335"/>
      <c r="Q208" s="335"/>
      <c r="R208" s="335"/>
      <c r="S208" s="335"/>
      <c r="T208" s="335"/>
      <c r="U208" s="335"/>
      <c r="V208" s="335"/>
      <c r="W208" s="335"/>
      <c r="X208" s="335"/>
      <c r="Y208" s="335"/>
      <c r="Z208" s="335"/>
      <c r="AA208" s="335"/>
      <c r="AB208" s="335"/>
      <c r="AC208" s="335"/>
      <c r="AD208" s="335"/>
      <c r="AE208" s="335"/>
      <c r="AF208" s="335"/>
      <c r="AG208" s="335"/>
      <c r="AH208" s="335"/>
      <c r="AI208" s="335"/>
      <c r="AJ208" s="335"/>
      <c r="AK208" s="335"/>
      <c r="AL208" s="335"/>
      <c r="AM208" s="335"/>
      <c r="AN208" s="335"/>
      <c r="AO208" s="335"/>
      <c r="AP208" s="335"/>
      <c r="AQ208" s="335"/>
      <c r="AR208" s="335"/>
      <c r="AS208" s="335"/>
      <c r="AT208" s="335"/>
      <c r="AU208" s="335"/>
      <c r="AV208" s="335"/>
      <c r="AW208" s="335"/>
      <c r="AX208" s="335"/>
      <c r="AY208" s="335"/>
      <c r="AZ208" s="335"/>
    </row>
    <row r="209" spans="1:52" ht="15.75" customHeight="1">
      <c r="A209" s="335"/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  <c r="AA209" s="335"/>
      <c r="AB209" s="335"/>
      <c r="AC209" s="335"/>
      <c r="AD209" s="335"/>
      <c r="AE209" s="335"/>
      <c r="AF209" s="335"/>
      <c r="AG209" s="335"/>
      <c r="AH209" s="335"/>
      <c r="AI209" s="335"/>
      <c r="AJ209" s="335"/>
      <c r="AK209" s="335"/>
      <c r="AL209" s="335"/>
      <c r="AM209" s="335"/>
      <c r="AN209" s="335"/>
      <c r="AO209" s="335"/>
      <c r="AP209" s="335"/>
      <c r="AQ209" s="335"/>
      <c r="AR209" s="335"/>
      <c r="AS209" s="335"/>
      <c r="AT209" s="335"/>
      <c r="AU209" s="335"/>
      <c r="AV209" s="335"/>
      <c r="AW209" s="335"/>
      <c r="AX209" s="335"/>
      <c r="AY209" s="335"/>
      <c r="AZ209" s="335"/>
    </row>
    <row r="210" spans="1:52" ht="15.75" customHeight="1">
      <c r="A210" s="335"/>
      <c r="B210" s="335"/>
      <c r="C210" s="335"/>
      <c r="D210" s="335"/>
      <c r="E210" s="335"/>
      <c r="F210" s="335"/>
      <c r="G210" s="335"/>
      <c r="H210" s="335"/>
      <c r="I210" s="335"/>
      <c r="J210" s="335"/>
      <c r="K210" s="335"/>
      <c r="L210" s="335"/>
      <c r="M210" s="335"/>
      <c r="N210" s="335"/>
      <c r="O210" s="335"/>
      <c r="P210" s="335"/>
      <c r="Q210" s="335"/>
      <c r="R210" s="335"/>
      <c r="S210" s="335"/>
      <c r="T210" s="335"/>
      <c r="U210" s="335"/>
      <c r="V210" s="335"/>
      <c r="W210" s="335"/>
      <c r="X210" s="335"/>
      <c r="Y210" s="335"/>
      <c r="Z210" s="335"/>
      <c r="AA210" s="335"/>
      <c r="AB210" s="335"/>
      <c r="AC210" s="335"/>
      <c r="AD210" s="335"/>
      <c r="AE210" s="335"/>
      <c r="AF210" s="335"/>
      <c r="AG210" s="335"/>
      <c r="AH210" s="335"/>
      <c r="AI210" s="335"/>
      <c r="AJ210" s="335"/>
      <c r="AK210" s="335"/>
      <c r="AL210" s="335"/>
      <c r="AM210" s="335"/>
      <c r="AN210" s="335"/>
      <c r="AO210" s="335"/>
      <c r="AP210" s="335"/>
      <c r="AQ210" s="335"/>
      <c r="AR210" s="335"/>
      <c r="AS210" s="335"/>
      <c r="AT210" s="335"/>
      <c r="AU210" s="335"/>
      <c r="AV210" s="335"/>
      <c r="AW210" s="335"/>
      <c r="AX210" s="335"/>
      <c r="AY210" s="335"/>
      <c r="AZ210" s="335"/>
    </row>
    <row r="211" spans="1:52" ht="15.75" customHeight="1">
      <c r="A211" s="335"/>
      <c r="B211" s="335"/>
      <c r="C211" s="335"/>
      <c r="D211" s="335"/>
      <c r="E211" s="335"/>
      <c r="F211" s="335"/>
      <c r="G211" s="335"/>
      <c r="H211" s="335"/>
      <c r="I211" s="335"/>
      <c r="J211" s="335"/>
      <c r="K211" s="335"/>
      <c r="L211" s="335"/>
      <c r="M211" s="335"/>
      <c r="N211" s="335"/>
      <c r="O211" s="335"/>
      <c r="P211" s="335"/>
      <c r="Q211" s="335"/>
      <c r="R211" s="335"/>
      <c r="S211" s="335"/>
      <c r="T211" s="335"/>
      <c r="U211" s="335"/>
      <c r="V211" s="335"/>
      <c r="W211" s="335"/>
      <c r="X211" s="335"/>
      <c r="Y211" s="335"/>
      <c r="Z211" s="335"/>
      <c r="AA211" s="335"/>
      <c r="AB211" s="335"/>
      <c r="AC211" s="335"/>
      <c r="AD211" s="335"/>
      <c r="AE211" s="335"/>
      <c r="AF211" s="335"/>
      <c r="AG211" s="335"/>
      <c r="AH211" s="335"/>
      <c r="AI211" s="335"/>
      <c r="AJ211" s="335"/>
      <c r="AK211" s="335"/>
      <c r="AL211" s="335"/>
      <c r="AM211" s="335"/>
      <c r="AN211" s="335"/>
      <c r="AO211" s="335"/>
      <c r="AP211" s="335"/>
      <c r="AQ211" s="335"/>
      <c r="AR211" s="335"/>
      <c r="AS211" s="335"/>
      <c r="AT211" s="335"/>
      <c r="AU211" s="335"/>
      <c r="AV211" s="335"/>
      <c r="AW211" s="335"/>
      <c r="AX211" s="335"/>
      <c r="AY211" s="335"/>
      <c r="AZ211" s="335"/>
    </row>
    <row r="212" spans="1:52" ht="15.75" customHeight="1">
      <c r="A212" s="335"/>
      <c r="B212" s="335"/>
      <c r="C212" s="335"/>
      <c r="D212" s="335"/>
      <c r="E212" s="335"/>
      <c r="F212" s="335"/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5"/>
      <c r="Y212" s="335"/>
      <c r="Z212" s="335"/>
      <c r="AA212" s="335"/>
      <c r="AB212" s="335"/>
      <c r="AC212" s="335"/>
      <c r="AD212" s="335"/>
      <c r="AE212" s="335"/>
      <c r="AF212" s="335"/>
      <c r="AG212" s="335"/>
      <c r="AH212" s="335"/>
      <c r="AI212" s="335"/>
      <c r="AJ212" s="335"/>
      <c r="AK212" s="335"/>
      <c r="AL212" s="335"/>
      <c r="AM212" s="335"/>
      <c r="AN212" s="335"/>
      <c r="AO212" s="335"/>
      <c r="AP212" s="335"/>
      <c r="AQ212" s="335"/>
      <c r="AR212" s="335"/>
      <c r="AS212" s="335"/>
      <c r="AT212" s="335"/>
      <c r="AU212" s="335"/>
      <c r="AV212" s="335"/>
      <c r="AW212" s="335"/>
      <c r="AX212" s="335"/>
      <c r="AY212" s="335"/>
      <c r="AZ212" s="335"/>
    </row>
    <row r="213" spans="1:52" ht="15.75" customHeight="1">
      <c r="A213" s="335"/>
      <c r="B213" s="335"/>
      <c r="C213" s="335"/>
      <c r="D213" s="335"/>
      <c r="E213" s="335"/>
      <c r="F213" s="335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  <c r="AA213" s="335"/>
      <c r="AB213" s="335"/>
      <c r="AC213" s="335"/>
      <c r="AD213" s="335"/>
      <c r="AE213" s="335"/>
      <c r="AF213" s="335"/>
      <c r="AG213" s="335"/>
      <c r="AH213" s="335"/>
      <c r="AI213" s="335"/>
      <c r="AJ213" s="335"/>
      <c r="AK213" s="335"/>
      <c r="AL213" s="335"/>
      <c r="AM213" s="335"/>
      <c r="AN213" s="335"/>
      <c r="AO213" s="335"/>
      <c r="AP213" s="335"/>
      <c r="AQ213" s="335"/>
      <c r="AR213" s="335"/>
      <c r="AS213" s="335"/>
      <c r="AT213" s="335"/>
      <c r="AU213" s="335"/>
      <c r="AV213" s="335"/>
      <c r="AW213" s="335"/>
      <c r="AX213" s="335"/>
      <c r="AY213" s="335"/>
      <c r="AZ213" s="335"/>
    </row>
    <row r="214" spans="1:52" ht="15.75" customHeight="1">
      <c r="A214" s="335"/>
      <c r="B214" s="335"/>
      <c r="C214" s="335"/>
      <c r="D214" s="335"/>
      <c r="E214" s="335"/>
      <c r="F214" s="335"/>
      <c r="G214" s="335"/>
      <c r="H214" s="335"/>
      <c r="I214" s="335"/>
      <c r="J214" s="335"/>
      <c r="K214" s="335"/>
      <c r="L214" s="335"/>
      <c r="M214" s="335"/>
      <c r="N214" s="335"/>
      <c r="O214" s="335"/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  <c r="AA214" s="335"/>
      <c r="AB214" s="335"/>
      <c r="AC214" s="335"/>
      <c r="AD214" s="335"/>
      <c r="AE214" s="335"/>
      <c r="AF214" s="335"/>
      <c r="AG214" s="335"/>
      <c r="AH214" s="335"/>
      <c r="AI214" s="335"/>
      <c r="AJ214" s="335"/>
      <c r="AK214" s="335"/>
      <c r="AL214" s="335"/>
      <c r="AM214" s="335"/>
      <c r="AN214" s="335"/>
      <c r="AO214" s="335"/>
      <c r="AP214" s="335"/>
      <c r="AQ214" s="335"/>
      <c r="AR214" s="335"/>
      <c r="AS214" s="335"/>
      <c r="AT214" s="335"/>
      <c r="AU214" s="335"/>
      <c r="AV214" s="335"/>
      <c r="AW214" s="335"/>
      <c r="AX214" s="335"/>
      <c r="AY214" s="335"/>
      <c r="AZ214" s="335"/>
    </row>
    <row r="215" spans="1:52" ht="15.75" customHeight="1">
      <c r="A215" s="335"/>
      <c r="B215" s="335"/>
      <c r="C215" s="335"/>
      <c r="D215" s="335"/>
      <c r="E215" s="335"/>
      <c r="F215" s="335"/>
      <c r="G215" s="335"/>
      <c r="H215" s="335"/>
      <c r="I215" s="335"/>
      <c r="J215" s="335"/>
      <c r="K215" s="335"/>
      <c r="L215" s="335"/>
      <c r="M215" s="335"/>
      <c r="N215" s="335"/>
      <c r="O215" s="335"/>
      <c r="P215" s="335"/>
      <c r="Q215" s="335"/>
      <c r="R215" s="335"/>
      <c r="S215" s="335"/>
      <c r="T215" s="335"/>
      <c r="U215" s="335"/>
      <c r="V215" s="335"/>
      <c r="W215" s="335"/>
      <c r="X215" s="335"/>
      <c r="Y215" s="335"/>
      <c r="Z215" s="335"/>
      <c r="AA215" s="335"/>
      <c r="AB215" s="335"/>
      <c r="AC215" s="335"/>
      <c r="AD215" s="335"/>
      <c r="AE215" s="335"/>
      <c r="AF215" s="335"/>
      <c r="AG215" s="335"/>
      <c r="AH215" s="335"/>
      <c r="AI215" s="335"/>
      <c r="AJ215" s="335"/>
      <c r="AK215" s="335"/>
      <c r="AL215" s="335"/>
      <c r="AM215" s="335"/>
      <c r="AN215" s="335"/>
      <c r="AO215" s="335"/>
      <c r="AP215" s="335"/>
      <c r="AQ215" s="335"/>
      <c r="AR215" s="335"/>
      <c r="AS215" s="335"/>
      <c r="AT215" s="335"/>
      <c r="AU215" s="335"/>
      <c r="AV215" s="335"/>
      <c r="AW215" s="335"/>
      <c r="AX215" s="335"/>
      <c r="AY215" s="335"/>
      <c r="AZ215" s="335"/>
    </row>
    <row r="216" spans="1:52" ht="15.75" customHeight="1">
      <c r="A216" s="335"/>
      <c r="B216" s="335"/>
      <c r="C216" s="335"/>
      <c r="D216" s="335"/>
      <c r="E216" s="335"/>
      <c r="F216" s="335"/>
      <c r="G216" s="335"/>
      <c r="H216" s="335"/>
      <c r="I216" s="335"/>
      <c r="J216" s="335"/>
      <c r="K216" s="335"/>
      <c r="L216" s="335"/>
      <c r="M216" s="335"/>
      <c r="N216" s="335"/>
      <c r="O216" s="335"/>
      <c r="P216" s="335"/>
      <c r="Q216" s="335"/>
      <c r="R216" s="335"/>
      <c r="S216" s="335"/>
      <c r="T216" s="335"/>
      <c r="U216" s="335"/>
      <c r="V216" s="335"/>
      <c r="W216" s="335"/>
      <c r="X216" s="335"/>
      <c r="Y216" s="335"/>
      <c r="Z216" s="335"/>
      <c r="AA216" s="335"/>
      <c r="AB216" s="335"/>
      <c r="AC216" s="335"/>
      <c r="AD216" s="335"/>
      <c r="AE216" s="335"/>
      <c r="AF216" s="335"/>
      <c r="AG216" s="335"/>
      <c r="AH216" s="335"/>
      <c r="AI216" s="335"/>
      <c r="AJ216" s="335"/>
      <c r="AK216" s="335"/>
      <c r="AL216" s="335"/>
      <c r="AM216" s="335"/>
      <c r="AN216" s="335"/>
      <c r="AO216" s="335"/>
      <c r="AP216" s="335"/>
      <c r="AQ216" s="335"/>
      <c r="AR216" s="335"/>
      <c r="AS216" s="335"/>
      <c r="AT216" s="335"/>
      <c r="AU216" s="335"/>
      <c r="AV216" s="335"/>
      <c r="AW216" s="335"/>
      <c r="AX216" s="335"/>
      <c r="AY216" s="335"/>
      <c r="AZ216" s="335"/>
    </row>
    <row r="217" spans="1:52" ht="15.75" customHeight="1">
      <c r="A217" s="335"/>
      <c r="B217" s="335"/>
      <c r="C217" s="335"/>
      <c r="D217" s="335"/>
      <c r="E217" s="335"/>
      <c r="F217" s="335"/>
      <c r="G217" s="335"/>
      <c r="H217" s="335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5"/>
      <c r="W217" s="335"/>
      <c r="X217" s="335"/>
      <c r="Y217" s="335"/>
      <c r="Z217" s="335"/>
      <c r="AA217" s="335"/>
      <c r="AB217" s="335"/>
      <c r="AC217" s="335"/>
      <c r="AD217" s="335"/>
      <c r="AE217" s="335"/>
      <c r="AF217" s="335"/>
      <c r="AG217" s="335"/>
      <c r="AH217" s="335"/>
      <c r="AI217" s="335"/>
      <c r="AJ217" s="335"/>
      <c r="AK217" s="335"/>
      <c r="AL217" s="335"/>
      <c r="AM217" s="335"/>
      <c r="AN217" s="335"/>
      <c r="AO217" s="335"/>
      <c r="AP217" s="335"/>
      <c r="AQ217" s="335"/>
      <c r="AR217" s="335"/>
      <c r="AS217" s="335"/>
      <c r="AT217" s="335"/>
      <c r="AU217" s="335"/>
      <c r="AV217" s="335"/>
      <c r="AW217" s="335"/>
      <c r="AX217" s="335"/>
      <c r="AY217" s="335"/>
      <c r="AZ217" s="335"/>
    </row>
    <row r="218" spans="1:52" ht="15.75" customHeight="1">
      <c r="A218" s="335"/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  <c r="AA218" s="335"/>
      <c r="AB218" s="335"/>
      <c r="AC218" s="335"/>
      <c r="AD218" s="335"/>
      <c r="AE218" s="335"/>
      <c r="AF218" s="335"/>
      <c r="AG218" s="335"/>
      <c r="AH218" s="335"/>
      <c r="AI218" s="335"/>
      <c r="AJ218" s="335"/>
      <c r="AK218" s="335"/>
      <c r="AL218" s="335"/>
      <c r="AM218" s="335"/>
      <c r="AN218" s="335"/>
      <c r="AO218" s="335"/>
      <c r="AP218" s="335"/>
      <c r="AQ218" s="335"/>
      <c r="AR218" s="335"/>
      <c r="AS218" s="335"/>
      <c r="AT218" s="335"/>
      <c r="AU218" s="335"/>
      <c r="AV218" s="335"/>
      <c r="AW218" s="335"/>
      <c r="AX218" s="335"/>
      <c r="AY218" s="335"/>
      <c r="AZ218" s="335"/>
    </row>
    <row r="219" spans="1:52" ht="15.75" customHeight="1">
      <c r="A219" s="335"/>
      <c r="B219" s="335"/>
      <c r="C219" s="335"/>
      <c r="D219" s="335"/>
      <c r="E219" s="335"/>
      <c r="F219" s="335"/>
      <c r="G219" s="335"/>
      <c r="H219" s="335"/>
      <c r="I219" s="335"/>
      <c r="J219" s="335"/>
      <c r="K219" s="335"/>
      <c r="L219" s="335"/>
      <c r="M219" s="335"/>
      <c r="N219" s="335"/>
      <c r="O219" s="335"/>
      <c r="P219" s="335"/>
      <c r="Q219" s="335"/>
      <c r="R219" s="335"/>
      <c r="S219" s="335"/>
      <c r="T219" s="335"/>
      <c r="U219" s="335"/>
      <c r="V219" s="335"/>
      <c r="W219" s="335"/>
      <c r="X219" s="335"/>
      <c r="Y219" s="335"/>
      <c r="Z219" s="335"/>
      <c r="AA219" s="335"/>
      <c r="AB219" s="335"/>
      <c r="AC219" s="335"/>
      <c r="AD219" s="335"/>
      <c r="AE219" s="335"/>
      <c r="AF219" s="335"/>
      <c r="AG219" s="335"/>
      <c r="AH219" s="335"/>
      <c r="AI219" s="335"/>
      <c r="AJ219" s="335"/>
      <c r="AK219" s="335"/>
      <c r="AL219" s="335"/>
      <c r="AM219" s="335"/>
      <c r="AN219" s="335"/>
      <c r="AO219" s="335"/>
      <c r="AP219" s="335"/>
      <c r="AQ219" s="335"/>
      <c r="AR219" s="335"/>
      <c r="AS219" s="335"/>
      <c r="AT219" s="335"/>
      <c r="AU219" s="335"/>
      <c r="AV219" s="335"/>
      <c r="AW219" s="335"/>
      <c r="AX219" s="335"/>
      <c r="AY219" s="335"/>
      <c r="AZ219" s="335"/>
    </row>
    <row r="220" spans="1:52" ht="15.75" customHeight="1">
      <c r="A220" s="335"/>
      <c r="B220" s="335"/>
      <c r="C220" s="335"/>
      <c r="D220" s="335"/>
      <c r="E220" s="335"/>
      <c r="F220" s="335"/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5"/>
      <c r="Z220" s="335"/>
      <c r="AA220" s="335"/>
      <c r="AB220" s="335"/>
      <c r="AC220" s="335"/>
      <c r="AD220" s="335"/>
      <c r="AE220" s="335"/>
      <c r="AF220" s="335"/>
      <c r="AG220" s="335"/>
      <c r="AH220" s="335"/>
      <c r="AI220" s="335"/>
      <c r="AJ220" s="335"/>
      <c r="AK220" s="335"/>
      <c r="AL220" s="335"/>
      <c r="AM220" s="335"/>
      <c r="AN220" s="335"/>
      <c r="AO220" s="335"/>
      <c r="AP220" s="335"/>
      <c r="AQ220" s="335"/>
      <c r="AR220" s="335"/>
      <c r="AS220" s="335"/>
      <c r="AT220" s="335"/>
      <c r="AU220" s="335"/>
      <c r="AV220" s="335"/>
      <c r="AW220" s="335"/>
      <c r="AX220" s="335"/>
      <c r="AY220" s="335"/>
      <c r="AZ220" s="335"/>
    </row>
    <row r="221" spans="1:52" ht="15.75" customHeight="1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  <c r="U221" s="335"/>
      <c r="V221" s="335"/>
      <c r="W221" s="335"/>
      <c r="X221" s="335"/>
      <c r="Y221" s="335"/>
      <c r="Z221" s="335"/>
      <c r="AA221" s="335"/>
      <c r="AB221" s="335"/>
      <c r="AC221" s="335"/>
      <c r="AD221" s="335"/>
      <c r="AE221" s="335"/>
      <c r="AF221" s="335"/>
      <c r="AG221" s="335"/>
      <c r="AH221" s="335"/>
      <c r="AI221" s="335"/>
      <c r="AJ221" s="335"/>
      <c r="AK221" s="335"/>
      <c r="AL221" s="335"/>
      <c r="AM221" s="335"/>
      <c r="AN221" s="335"/>
      <c r="AO221" s="335"/>
      <c r="AP221" s="335"/>
      <c r="AQ221" s="335"/>
      <c r="AR221" s="335"/>
      <c r="AS221" s="335"/>
      <c r="AT221" s="335"/>
      <c r="AU221" s="335"/>
      <c r="AV221" s="335"/>
      <c r="AW221" s="335"/>
      <c r="AX221" s="335"/>
      <c r="AY221" s="335"/>
      <c r="AZ221" s="335"/>
    </row>
    <row r="222" spans="1:52" ht="15.75" customHeight="1">
      <c r="A222" s="335"/>
      <c r="B222" s="335"/>
      <c r="C222" s="335"/>
      <c r="D222" s="335"/>
      <c r="E222" s="335"/>
      <c r="F222" s="335"/>
      <c r="G222" s="335"/>
      <c r="H222" s="335"/>
      <c r="I222" s="335"/>
      <c r="J222" s="335"/>
      <c r="K222" s="335"/>
      <c r="L222" s="335"/>
      <c r="M222" s="335"/>
      <c r="N222" s="335"/>
      <c r="O222" s="335"/>
      <c r="P222" s="335"/>
      <c r="Q222" s="335"/>
      <c r="R222" s="335"/>
      <c r="S222" s="335"/>
      <c r="T222" s="335"/>
      <c r="U222" s="335"/>
      <c r="V222" s="335"/>
      <c r="W222" s="335"/>
      <c r="X222" s="335"/>
      <c r="Y222" s="335"/>
      <c r="Z222" s="335"/>
      <c r="AA222" s="335"/>
      <c r="AB222" s="335"/>
      <c r="AC222" s="335"/>
      <c r="AD222" s="335"/>
      <c r="AE222" s="335"/>
      <c r="AF222" s="335"/>
      <c r="AG222" s="335"/>
      <c r="AH222" s="335"/>
      <c r="AI222" s="335"/>
      <c r="AJ222" s="335"/>
      <c r="AK222" s="335"/>
      <c r="AL222" s="335"/>
      <c r="AM222" s="335"/>
      <c r="AN222" s="335"/>
      <c r="AO222" s="335"/>
      <c r="AP222" s="335"/>
      <c r="AQ222" s="335"/>
      <c r="AR222" s="335"/>
      <c r="AS222" s="335"/>
      <c r="AT222" s="335"/>
      <c r="AU222" s="335"/>
      <c r="AV222" s="335"/>
      <c r="AW222" s="335"/>
      <c r="AX222" s="335"/>
      <c r="AY222" s="335"/>
      <c r="AZ222" s="335"/>
    </row>
    <row r="223" spans="1:52" ht="15.75" customHeight="1">
      <c r="A223" s="335"/>
      <c r="B223" s="335"/>
      <c r="C223" s="335"/>
      <c r="D223" s="335"/>
      <c r="E223" s="335"/>
      <c r="F223" s="335"/>
      <c r="G223" s="335"/>
      <c r="H223" s="335"/>
      <c r="I223" s="335"/>
      <c r="J223" s="335"/>
      <c r="K223" s="335"/>
      <c r="L223" s="335"/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  <c r="AA223" s="335"/>
      <c r="AB223" s="335"/>
      <c r="AC223" s="335"/>
      <c r="AD223" s="335"/>
      <c r="AE223" s="335"/>
      <c r="AF223" s="335"/>
      <c r="AG223" s="335"/>
      <c r="AH223" s="335"/>
      <c r="AI223" s="335"/>
      <c r="AJ223" s="335"/>
      <c r="AK223" s="335"/>
      <c r="AL223" s="335"/>
      <c r="AM223" s="335"/>
      <c r="AN223" s="335"/>
      <c r="AO223" s="335"/>
      <c r="AP223" s="335"/>
      <c r="AQ223" s="335"/>
      <c r="AR223" s="335"/>
      <c r="AS223" s="335"/>
      <c r="AT223" s="335"/>
      <c r="AU223" s="335"/>
      <c r="AV223" s="335"/>
      <c r="AW223" s="335"/>
      <c r="AX223" s="335"/>
      <c r="AY223" s="335"/>
      <c r="AZ223" s="335"/>
    </row>
    <row r="224" spans="1:52" ht="15.75" customHeight="1">
      <c r="A224" s="335"/>
      <c r="B224" s="335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  <c r="AA224" s="335"/>
      <c r="AB224" s="335"/>
      <c r="AC224" s="335"/>
      <c r="AD224" s="335"/>
      <c r="AE224" s="335"/>
      <c r="AF224" s="335"/>
      <c r="AG224" s="335"/>
      <c r="AH224" s="335"/>
      <c r="AI224" s="335"/>
      <c r="AJ224" s="335"/>
      <c r="AK224" s="335"/>
      <c r="AL224" s="335"/>
      <c r="AM224" s="335"/>
      <c r="AN224" s="335"/>
      <c r="AO224" s="335"/>
      <c r="AP224" s="335"/>
      <c r="AQ224" s="335"/>
      <c r="AR224" s="335"/>
      <c r="AS224" s="335"/>
      <c r="AT224" s="335"/>
      <c r="AU224" s="335"/>
      <c r="AV224" s="335"/>
      <c r="AW224" s="335"/>
      <c r="AX224" s="335"/>
      <c r="AY224" s="335"/>
      <c r="AZ224" s="335"/>
    </row>
    <row r="225" spans="1:52" ht="15.75" customHeight="1">
      <c r="A225" s="335"/>
      <c r="B225" s="335"/>
      <c r="C225" s="335"/>
      <c r="D225" s="335"/>
      <c r="E225" s="335"/>
      <c r="F225" s="335"/>
      <c r="G225" s="335"/>
      <c r="H225" s="335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5"/>
      <c r="W225" s="335"/>
      <c r="X225" s="335"/>
      <c r="Y225" s="335"/>
      <c r="Z225" s="335"/>
      <c r="AA225" s="335"/>
      <c r="AB225" s="335"/>
      <c r="AC225" s="335"/>
      <c r="AD225" s="335"/>
      <c r="AE225" s="335"/>
      <c r="AF225" s="335"/>
      <c r="AG225" s="335"/>
      <c r="AH225" s="335"/>
      <c r="AI225" s="335"/>
      <c r="AJ225" s="335"/>
      <c r="AK225" s="335"/>
      <c r="AL225" s="335"/>
      <c r="AM225" s="335"/>
      <c r="AN225" s="335"/>
      <c r="AO225" s="335"/>
      <c r="AP225" s="335"/>
      <c r="AQ225" s="335"/>
      <c r="AR225" s="335"/>
      <c r="AS225" s="335"/>
      <c r="AT225" s="335"/>
      <c r="AU225" s="335"/>
      <c r="AV225" s="335"/>
      <c r="AW225" s="335"/>
      <c r="AX225" s="335"/>
      <c r="AY225" s="335"/>
      <c r="AZ225" s="335"/>
    </row>
    <row r="226" spans="1:52" ht="15.75" customHeight="1">
      <c r="A226" s="335"/>
      <c r="B226" s="335"/>
      <c r="C226" s="335"/>
      <c r="D226" s="335"/>
      <c r="E226" s="335"/>
      <c r="F226" s="335"/>
      <c r="G226" s="335"/>
      <c r="H226" s="335"/>
      <c r="I226" s="335"/>
      <c r="J226" s="335"/>
      <c r="K226" s="335"/>
      <c r="L226" s="335"/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  <c r="AA226" s="335"/>
      <c r="AB226" s="335"/>
      <c r="AC226" s="335"/>
      <c r="AD226" s="335"/>
      <c r="AE226" s="335"/>
      <c r="AF226" s="335"/>
      <c r="AG226" s="335"/>
      <c r="AH226" s="335"/>
      <c r="AI226" s="335"/>
      <c r="AJ226" s="335"/>
      <c r="AK226" s="335"/>
      <c r="AL226" s="335"/>
      <c r="AM226" s="335"/>
      <c r="AN226" s="335"/>
      <c r="AO226" s="335"/>
      <c r="AP226" s="335"/>
      <c r="AQ226" s="335"/>
      <c r="AR226" s="335"/>
      <c r="AS226" s="335"/>
      <c r="AT226" s="335"/>
      <c r="AU226" s="335"/>
      <c r="AV226" s="335"/>
      <c r="AW226" s="335"/>
      <c r="AX226" s="335"/>
      <c r="AY226" s="335"/>
      <c r="AZ226" s="335"/>
    </row>
    <row r="227" spans="1:52" ht="15.75" customHeight="1">
      <c r="A227" s="335"/>
      <c r="B227" s="335"/>
      <c r="C227" s="335"/>
      <c r="D227" s="335"/>
      <c r="E227" s="335"/>
      <c r="F227" s="335"/>
      <c r="G227" s="335"/>
      <c r="H227" s="335"/>
      <c r="I227" s="335"/>
      <c r="J227" s="335"/>
      <c r="K227" s="335"/>
      <c r="L227" s="335"/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  <c r="AA227" s="335"/>
      <c r="AB227" s="335"/>
      <c r="AC227" s="335"/>
      <c r="AD227" s="335"/>
      <c r="AE227" s="335"/>
      <c r="AF227" s="335"/>
      <c r="AG227" s="335"/>
      <c r="AH227" s="335"/>
      <c r="AI227" s="335"/>
      <c r="AJ227" s="335"/>
      <c r="AK227" s="335"/>
      <c r="AL227" s="335"/>
      <c r="AM227" s="335"/>
      <c r="AN227" s="335"/>
      <c r="AO227" s="335"/>
      <c r="AP227" s="335"/>
      <c r="AQ227" s="335"/>
      <c r="AR227" s="335"/>
      <c r="AS227" s="335"/>
      <c r="AT227" s="335"/>
      <c r="AU227" s="335"/>
      <c r="AV227" s="335"/>
      <c r="AW227" s="335"/>
      <c r="AX227" s="335"/>
      <c r="AY227" s="335"/>
      <c r="AZ227" s="335"/>
    </row>
    <row r="228" spans="1:52" ht="15.75" customHeight="1">
      <c r="A228" s="335"/>
      <c r="B228" s="335"/>
      <c r="C228" s="335"/>
      <c r="D228" s="335"/>
      <c r="E228" s="335"/>
      <c r="F228" s="335"/>
      <c r="G228" s="335"/>
      <c r="H228" s="335"/>
      <c r="I228" s="335"/>
      <c r="J228" s="335"/>
      <c r="K228" s="335"/>
      <c r="L228" s="335"/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  <c r="AA228" s="335"/>
      <c r="AB228" s="335"/>
      <c r="AC228" s="335"/>
      <c r="AD228" s="335"/>
      <c r="AE228" s="335"/>
      <c r="AF228" s="335"/>
      <c r="AG228" s="335"/>
      <c r="AH228" s="335"/>
      <c r="AI228" s="335"/>
      <c r="AJ228" s="335"/>
      <c r="AK228" s="335"/>
      <c r="AL228" s="335"/>
      <c r="AM228" s="335"/>
      <c r="AN228" s="335"/>
      <c r="AO228" s="335"/>
      <c r="AP228" s="335"/>
      <c r="AQ228" s="335"/>
      <c r="AR228" s="335"/>
      <c r="AS228" s="335"/>
      <c r="AT228" s="335"/>
      <c r="AU228" s="335"/>
      <c r="AV228" s="335"/>
      <c r="AW228" s="335"/>
      <c r="AX228" s="335"/>
      <c r="AY228" s="335"/>
      <c r="AZ228" s="335"/>
    </row>
    <row r="229" spans="1:52" ht="15.75" customHeight="1">
      <c r="A229" s="335"/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  <c r="AA229" s="335"/>
      <c r="AB229" s="335"/>
      <c r="AC229" s="335"/>
      <c r="AD229" s="335"/>
      <c r="AE229" s="335"/>
      <c r="AF229" s="335"/>
      <c r="AG229" s="335"/>
      <c r="AH229" s="335"/>
      <c r="AI229" s="335"/>
      <c r="AJ229" s="335"/>
      <c r="AK229" s="335"/>
      <c r="AL229" s="335"/>
      <c r="AM229" s="335"/>
      <c r="AN229" s="335"/>
      <c r="AO229" s="335"/>
      <c r="AP229" s="335"/>
      <c r="AQ229" s="335"/>
      <c r="AR229" s="335"/>
      <c r="AS229" s="335"/>
      <c r="AT229" s="335"/>
      <c r="AU229" s="335"/>
      <c r="AV229" s="335"/>
      <c r="AW229" s="335"/>
      <c r="AX229" s="335"/>
      <c r="AY229" s="335"/>
      <c r="AZ229" s="335"/>
    </row>
    <row r="230" spans="1:52" ht="15.75" customHeight="1">
      <c r="A230" s="335"/>
      <c r="B230" s="335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335"/>
      <c r="N230" s="335"/>
      <c r="O230" s="335"/>
      <c r="P230" s="335"/>
      <c r="Q230" s="335"/>
      <c r="R230" s="335"/>
      <c r="S230" s="335"/>
      <c r="T230" s="335"/>
      <c r="U230" s="335"/>
      <c r="V230" s="335"/>
      <c r="W230" s="335"/>
      <c r="X230" s="335"/>
      <c r="Y230" s="335"/>
      <c r="Z230" s="335"/>
      <c r="AA230" s="335"/>
      <c r="AB230" s="335"/>
      <c r="AC230" s="335"/>
      <c r="AD230" s="335"/>
      <c r="AE230" s="335"/>
      <c r="AF230" s="335"/>
      <c r="AG230" s="335"/>
      <c r="AH230" s="335"/>
      <c r="AI230" s="335"/>
      <c r="AJ230" s="335"/>
      <c r="AK230" s="335"/>
      <c r="AL230" s="335"/>
      <c r="AM230" s="335"/>
      <c r="AN230" s="335"/>
      <c r="AO230" s="335"/>
      <c r="AP230" s="335"/>
      <c r="AQ230" s="335"/>
      <c r="AR230" s="335"/>
      <c r="AS230" s="335"/>
      <c r="AT230" s="335"/>
      <c r="AU230" s="335"/>
      <c r="AV230" s="335"/>
      <c r="AW230" s="335"/>
      <c r="AX230" s="335"/>
      <c r="AY230" s="335"/>
      <c r="AZ230" s="335"/>
    </row>
    <row r="231" spans="1:52" ht="15.75" customHeight="1">
      <c r="A231" s="335"/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  <c r="T231" s="335"/>
      <c r="U231" s="335"/>
      <c r="V231" s="335"/>
      <c r="W231" s="335"/>
      <c r="X231" s="335"/>
      <c r="Y231" s="335"/>
      <c r="Z231" s="335"/>
      <c r="AA231" s="335"/>
      <c r="AB231" s="335"/>
      <c r="AC231" s="335"/>
      <c r="AD231" s="335"/>
      <c r="AE231" s="335"/>
      <c r="AF231" s="335"/>
      <c r="AG231" s="335"/>
      <c r="AH231" s="335"/>
      <c r="AI231" s="335"/>
      <c r="AJ231" s="335"/>
      <c r="AK231" s="335"/>
      <c r="AL231" s="335"/>
      <c r="AM231" s="335"/>
      <c r="AN231" s="335"/>
      <c r="AO231" s="335"/>
      <c r="AP231" s="335"/>
      <c r="AQ231" s="335"/>
      <c r="AR231" s="335"/>
      <c r="AS231" s="335"/>
      <c r="AT231" s="335"/>
      <c r="AU231" s="335"/>
      <c r="AV231" s="335"/>
      <c r="AW231" s="335"/>
      <c r="AX231" s="335"/>
      <c r="AY231" s="335"/>
      <c r="AZ231" s="335"/>
    </row>
    <row r="232" spans="1:52" ht="15.75" customHeight="1">
      <c r="A232" s="335"/>
      <c r="B232" s="335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  <c r="AA232" s="335"/>
      <c r="AB232" s="335"/>
      <c r="AC232" s="335"/>
      <c r="AD232" s="335"/>
      <c r="AE232" s="335"/>
      <c r="AF232" s="335"/>
      <c r="AG232" s="335"/>
      <c r="AH232" s="335"/>
      <c r="AI232" s="335"/>
      <c r="AJ232" s="335"/>
      <c r="AK232" s="335"/>
      <c r="AL232" s="335"/>
      <c r="AM232" s="335"/>
      <c r="AN232" s="335"/>
      <c r="AO232" s="335"/>
      <c r="AP232" s="335"/>
      <c r="AQ232" s="335"/>
      <c r="AR232" s="335"/>
      <c r="AS232" s="335"/>
      <c r="AT232" s="335"/>
      <c r="AU232" s="335"/>
      <c r="AV232" s="335"/>
      <c r="AW232" s="335"/>
      <c r="AX232" s="335"/>
      <c r="AY232" s="335"/>
      <c r="AZ232" s="335"/>
    </row>
    <row r="233" spans="1:52" ht="15.75" customHeight="1">
      <c r="A233" s="335"/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5"/>
      <c r="W233" s="335"/>
      <c r="X233" s="335"/>
      <c r="Y233" s="335"/>
      <c r="Z233" s="335"/>
      <c r="AA233" s="335"/>
      <c r="AB233" s="335"/>
      <c r="AC233" s="335"/>
      <c r="AD233" s="335"/>
      <c r="AE233" s="335"/>
      <c r="AF233" s="335"/>
      <c r="AG233" s="335"/>
      <c r="AH233" s="335"/>
      <c r="AI233" s="335"/>
      <c r="AJ233" s="335"/>
      <c r="AK233" s="335"/>
      <c r="AL233" s="335"/>
      <c r="AM233" s="335"/>
      <c r="AN233" s="335"/>
      <c r="AO233" s="335"/>
      <c r="AP233" s="335"/>
      <c r="AQ233" s="335"/>
      <c r="AR233" s="335"/>
      <c r="AS233" s="335"/>
      <c r="AT233" s="335"/>
      <c r="AU233" s="335"/>
      <c r="AV233" s="335"/>
      <c r="AW233" s="335"/>
      <c r="AX233" s="335"/>
      <c r="AY233" s="335"/>
      <c r="AZ233" s="335"/>
    </row>
    <row r="234" spans="1:52" ht="15.75" customHeight="1">
      <c r="A234" s="335"/>
      <c r="B234" s="335"/>
      <c r="C234" s="335"/>
      <c r="D234" s="335"/>
      <c r="E234" s="335"/>
      <c r="F234" s="335"/>
      <c r="G234" s="335"/>
      <c r="H234" s="335"/>
      <c r="I234" s="335"/>
      <c r="J234" s="335"/>
      <c r="K234" s="335"/>
      <c r="L234" s="335"/>
      <c r="M234" s="335"/>
      <c r="N234" s="335"/>
      <c r="O234" s="335"/>
      <c r="P234" s="335"/>
      <c r="Q234" s="335"/>
      <c r="R234" s="335"/>
      <c r="S234" s="335"/>
      <c r="T234" s="335"/>
      <c r="U234" s="335"/>
      <c r="V234" s="335"/>
      <c r="W234" s="335"/>
      <c r="X234" s="335"/>
      <c r="Y234" s="335"/>
      <c r="Z234" s="335"/>
      <c r="AA234" s="335"/>
      <c r="AB234" s="335"/>
      <c r="AC234" s="335"/>
      <c r="AD234" s="335"/>
      <c r="AE234" s="335"/>
      <c r="AF234" s="335"/>
      <c r="AG234" s="335"/>
      <c r="AH234" s="335"/>
      <c r="AI234" s="335"/>
      <c r="AJ234" s="335"/>
      <c r="AK234" s="335"/>
      <c r="AL234" s="335"/>
      <c r="AM234" s="335"/>
      <c r="AN234" s="335"/>
      <c r="AO234" s="335"/>
      <c r="AP234" s="335"/>
      <c r="AQ234" s="335"/>
      <c r="AR234" s="335"/>
      <c r="AS234" s="335"/>
      <c r="AT234" s="335"/>
      <c r="AU234" s="335"/>
      <c r="AV234" s="335"/>
      <c r="AW234" s="335"/>
      <c r="AX234" s="335"/>
      <c r="AY234" s="335"/>
      <c r="AZ234" s="335"/>
    </row>
    <row r="235" spans="1:52" ht="15.75" customHeight="1">
      <c r="A235" s="335"/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  <c r="AA235" s="335"/>
      <c r="AB235" s="335"/>
      <c r="AC235" s="335"/>
      <c r="AD235" s="335"/>
      <c r="AE235" s="335"/>
      <c r="AF235" s="335"/>
      <c r="AG235" s="335"/>
      <c r="AH235" s="335"/>
      <c r="AI235" s="335"/>
      <c r="AJ235" s="335"/>
      <c r="AK235" s="335"/>
      <c r="AL235" s="335"/>
      <c r="AM235" s="335"/>
      <c r="AN235" s="335"/>
      <c r="AO235" s="335"/>
      <c r="AP235" s="335"/>
      <c r="AQ235" s="335"/>
      <c r="AR235" s="335"/>
      <c r="AS235" s="335"/>
      <c r="AT235" s="335"/>
      <c r="AU235" s="335"/>
      <c r="AV235" s="335"/>
      <c r="AW235" s="335"/>
      <c r="AX235" s="335"/>
      <c r="AY235" s="335"/>
      <c r="AZ235" s="335"/>
    </row>
    <row r="236" spans="1:52" ht="15.75" customHeight="1">
      <c r="A236" s="335"/>
      <c r="B236" s="335"/>
      <c r="C236" s="335"/>
      <c r="D236" s="335"/>
      <c r="E236" s="335"/>
      <c r="F236" s="335"/>
      <c r="G236" s="335"/>
      <c r="H236" s="335"/>
      <c r="I236" s="335"/>
      <c r="J236" s="335"/>
      <c r="K236" s="335"/>
      <c r="L236" s="335"/>
      <c r="M236" s="335"/>
      <c r="N236" s="335"/>
      <c r="O236" s="335"/>
      <c r="P236" s="335"/>
      <c r="Q236" s="335"/>
      <c r="R236" s="335"/>
      <c r="S236" s="335"/>
      <c r="T236" s="335"/>
      <c r="U236" s="335"/>
      <c r="V236" s="335"/>
      <c r="W236" s="335"/>
      <c r="X236" s="335"/>
      <c r="Y236" s="335"/>
      <c r="Z236" s="335"/>
      <c r="AA236" s="335"/>
      <c r="AB236" s="335"/>
      <c r="AC236" s="335"/>
      <c r="AD236" s="335"/>
      <c r="AE236" s="335"/>
      <c r="AF236" s="335"/>
      <c r="AG236" s="335"/>
      <c r="AH236" s="335"/>
      <c r="AI236" s="335"/>
      <c r="AJ236" s="335"/>
      <c r="AK236" s="335"/>
      <c r="AL236" s="335"/>
      <c r="AM236" s="335"/>
      <c r="AN236" s="335"/>
      <c r="AO236" s="335"/>
      <c r="AP236" s="335"/>
      <c r="AQ236" s="335"/>
      <c r="AR236" s="335"/>
      <c r="AS236" s="335"/>
      <c r="AT236" s="335"/>
      <c r="AU236" s="335"/>
      <c r="AV236" s="335"/>
      <c r="AW236" s="335"/>
      <c r="AX236" s="335"/>
      <c r="AY236" s="335"/>
      <c r="AZ236" s="335"/>
    </row>
    <row r="237" spans="1:52" ht="15.75" customHeight="1">
      <c r="A237" s="335"/>
      <c r="B237" s="335"/>
      <c r="C237" s="335"/>
      <c r="D237" s="335"/>
      <c r="E237" s="335"/>
      <c r="F237" s="335"/>
      <c r="G237" s="335"/>
      <c r="H237" s="335"/>
      <c r="I237" s="335"/>
      <c r="J237" s="335"/>
      <c r="K237" s="335"/>
      <c r="L237" s="335"/>
      <c r="M237" s="335"/>
      <c r="N237" s="335"/>
      <c r="O237" s="335"/>
      <c r="P237" s="335"/>
      <c r="Q237" s="335"/>
      <c r="R237" s="335"/>
      <c r="S237" s="335"/>
      <c r="T237" s="335"/>
      <c r="U237" s="335"/>
      <c r="V237" s="335"/>
      <c r="W237" s="335"/>
      <c r="X237" s="335"/>
      <c r="Y237" s="335"/>
      <c r="Z237" s="335"/>
      <c r="AA237" s="335"/>
      <c r="AB237" s="335"/>
      <c r="AC237" s="335"/>
      <c r="AD237" s="335"/>
      <c r="AE237" s="335"/>
      <c r="AF237" s="335"/>
      <c r="AG237" s="335"/>
      <c r="AH237" s="335"/>
      <c r="AI237" s="335"/>
      <c r="AJ237" s="335"/>
      <c r="AK237" s="335"/>
      <c r="AL237" s="335"/>
      <c r="AM237" s="335"/>
      <c r="AN237" s="335"/>
      <c r="AO237" s="335"/>
      <c r="AP237" s="335"/>
      <c r="AQ237" s="335"/>
      <c r="AR237" s="335"/>
      <c r="AS237" s="335"/>
      <c r="AT237" s="335"/>
      <c r="AU237" s="335"/>
      <c r="AV237" s="335"/>
      <c r="AW237" s="335"/>
      <c r="AX237" s="335"/>
      <c r="AY237" s="335"/>
      <c r="AZ237" s="335"/>
    </row>
    <row r="238" spans="1:52" ht="15.75" customHeight="1">
      <c r="A238" s="335"/>
      <c r="B238" s="335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5"/>
      <c r="T238" s="335"/>
      <c r="U238" s="335"/>
      <c r="V238" s="335"/>
      <c r="W238" s="335"/>
      <c r="X238" s="335"/>
      <c r="Y238" s="335"/>
      <c r="Z238" s="335"/>
      <c r="AA238" s="335"/>
      <c r="AB238" s="335"/>
      <c r="AC238" s="335"/>
      <c r="AD238" s="335"/>
      <c r="AE238" s="335"/>
      <c r="AF238" s="335"/>
      <c r="AG238" s="335"/>
      <c r="AH238" s="335"/>
      <c r="AI238" s="335"/>
      <c r="AJ238" s="335"/>
      <c r="AK238" s="335"/>
      <c r="AL238" s="335"/>
      <c r="AM238" s="335"/>
      <c r="AN238" s="335"/>
      <c r="AO238" s="335"/>
      <c r="AP238" s="335"/>
      <c r="AQ238" s="335"/>
      <c r="AR238" s="335"/>
      <c r="AS238" s="335"/>
      <c r="AT238" s="335"/>
      <c r="AU238" s="335"/>
      <c r="AV238" s="335"/>
      <c r="AW238" s="335"/>
      <c r="AX238" s="335"/>
      <c r="AY238" s="335"/>
      <c r="AZ238" s="335"/>
    </row>
    <row r="239" spans="1:52" ht="15.75" customHeight="1">
      <c r="A239" s="335"/>
      <c r="B239" s="335"/>
      <c r="C239" s="335"/>
      <c r="D239" s="335"/>
      <c r="E239" s="335"/>
      <c r="F239" s="335"/>
      <c r="G239" s="335"/>
      <c r="H239" s="335"/>
      <c r="I239" s="335"/>
      <c r="J239" s="335"/>
      <c r="K239" s="335"/>
      <c r="L239" s="335"/>
      <c r="M239" s="335"/>
      <c r="N239" s="335"/>
      <c r="O239" s="335"/>
      <c r="P239" s="335"/>
      <c r="Q239" s="335"/>
      <c r="R239" s="335"/>
      <c r="S239" s="335"/>
      <c r="T239" s="335"/>
      <c r="U239" s="335"/>
      <c r="V239" s="335"/>
      <c r="W239" s="335"/>
      <c r="X239" s="335"/>
      <c r="Y239" s="335"/>
      <c r="Z239" s="335"/>
      <c r="AA239" s="335"/>
      <c r="AB239" s="335"/>
      <c r="AC239" s="335"/>
      <c r="AD239" s="335"/>
      <c r="AE239" s="335"/>
      <c r="AF239" s="335"/>
      <c r="AG239" s="335"/>
      <c r="AH239" s="335"/>
      <c r="AI239" s="335"/>
      <c r="AJ239" s="335"/>
      <c r="AK239" s="335"/>
      <c r="AL239" s="335"/>
      <c r="AM239" s="335"/>
      <c r="AN239" s="335"/>
      <c r="AO239" s="335"/>
      <c r="AP239" s="335"/>
      <c r="AQ239" s="335"/>
      <c r="AR239" s="335"/>
      <c r="AS239" s="335"/>
      <c r="AT239" s="335"/>
      <c r="AU239" s="335"/>
      <c r="AV239" s="335"/>
      <c r="AW239" s="335"/>
      <c r="AX239" s="335"/>
      <c r="AY239" s="335"/>
      <c r="AZ239" s="335"/>
    </row>
    <row r="240" spans="1:52" ht="15.75" customHeight="1">
      <c r="A240" s="335"/>
      <c r="B240" s="335"/>
      <c r="C240" s="335"/>
      <c r="D240" s="335"/>
      <c r="E240" s="335"/>
      <c r="F240" s="335"/>
      <c r="G240" s="335"/>
      <c r="H240" s="335"/>
      <c r="I240" s="335"/>
      <c r="J240" s="335"/>
      <c r="K240" s="335"/>
      <c r="L240" s="335"/>
      <c r="M240" s="335"/>
      <c r="N240" s="335"/>
      <c r="O240" s="335"/>
      <c r="P240" s="335"/>
      <c r="Q240" s="335"/>
      <c r="R240" s="335"/>
      <c r="S240" s="335"/>
      <c r="T240" s="335"/>
      <c r="U240" s="335"/>
      <c r="V240" s="335"/>
      <c r="W240" s="335"/>
      <c r="X240" s="335"/>
      <c r="Y240" s="335"/>
      <c r="Z240" s="335"/>
      <c r="AA240" s="335"/>
      <c r="AB240" s="335"/>
      <c r="AC240" s="335"/>
      <c r="AD240" s="335"/>
      <c r="AE240" s="335"/>
      <c r="AF240" s="335"/>
      <c r="AG240" s="335"/>
      <c r="AH240" s="335"/>
      <c r="AI240" s="335"/>
      <c r="AJ240" s="335"/>
      <c r="AK240" s="335"/>
      <c r="AL240" s="335"/>
      <c r="AM240" s="335"/>
      <c r="AN240" s="335"/>
      <c r="AO240" s="335"/>
      <c r="AP240" s="335"/>
      <c r="AQ240" s="335"/>
      <c r="AR240" s="335"/>
      <c r="AS240" s="335"/>
      <c r="AT240" s="335"/>
      <c r="AU240" s="335"/>
      <c r="AV240" s="335"/>
      <c r="AW240" s="335"/>
      <c r="AX240" s="335"/>
      <c r="AY240" s="335"/>
      <c r="AZ240" s="335"/>
    </row>
    <row r="241" spans="1:52" ht="15.75" customHeight="1">
      <c r="A241" s="335"/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  <c r="AA241" s="335"/>
      <c r="AB241" s="335"/>
      <c r="AC241" s="335"/>
      <c r="AD241" s="335"/>
      <c r="AE241" s="335"/>
      <c r="AF241" s="335"/>
      <c r="AG241" s="335"/>
      <c r="AH241" s="335"/>
      <c r="AI241" s="335"/>
      <c r="AJ241" s="335"/>
      <c r="AK241" s="335"/>
      <c r="AL241" s="335"/>
      <c r="AM241" s="335"/>
      <c r="AN241" s="335"/>
      <c r="AO241" s="335"/>
      <c r="AP241" s="335"/>
      <c r="AQ241" s="335"/>
      <c r="AR241" s="335"/>
      <c r="AS241" s="335"/>
      <c r="AT241" s="335"/>
      <c r="AU241" s="335"/>
      <c r="AV241" s="335"/>
      <c r="AW241" s="335"/>
      <c r="AX241" s="335"/>
      <c r="AY241" s="335"/>
      <c r="AZ241" s="335"/>
    </row>
    <row r="242" spans="1:52" ht="15.75" customHeight="1">
      <c r="A242" s="335"/>
      <c r="B242" s="335"/>
      <c r="C242" s="335"/>
      <c r="D242" s="335"/>
      <c r="E242" s="335"/>
      <c r="F242" s="335"/>
      <c r="G242" s="335"/>
      <c r="H242" s="335"/>
      <c r="I242" s="335"/>
      <c r="J242" s="335"/>
      <c r="K242" s="335"/>
      <c r="L242" s="335"/>
      <c r="M242" s="335"/>
      <c r="N242" s="335"/>
      <c r="O242" s="335"/>
      <c r="P242" s="335"/>
      <c r="Q242" s="335"/>
      <c r="R242" s="335"/>
      <c r="S242" s="335"/>
      <c r="T242" s="335"/>
      <c r="U242" s="335"/>
      <c r="V242" s="335"/>
      <c r="W242" s="335"/>
      <c r="X242" s="335"/>
      <c r="Y242" s="335"/>
      <c r="Z242" s="335"/>
      <c r="AA242" s="335"/>
      <c r="AB242" s="335"/>
      <c r="AC242" s="335"/>
      <c r="AD242" s="335"/>
      <c r="AE242" s="335"/>
      <c r="AF242" s="335"/>
      <c r="AG242" s="335"/>
      <c r="AH242" s="335"/>
      <c r="AI242" s="335"/>
      <c r="AJ242" s="335"/>
      <c r="AK242" s="335"/>
      <c r="AL242" s="335"/>
      <c r="AM242" s="335"/>
      <c r="AN242" s="335"/>
      <c r="AO242" s="335"/>
      <c r="AP242" s="335"/>
      <c r="AQ242" s="335"/>
      <c r="AR242" s="335"/>
      <c r="AS242" s="335"/>
      <c r="AT242" s="335"/>
      <c r="AU242" s="335"/>
      <c r="AV242" s="335"/>
      <c r="AW242" s="335"/>
      <c r="AX242" s="335"/>
      <c r="AY242" s="335"/>
      <c r="AZ242" s="335"/>
    </row>
    <row r="243" spans="1:52" ht="15.75" customHeight="1">
      <c r="A243" s="335"/>
      <c r="B243" s="335"/>
      <c r="C243" s="335"/>
      <c r="D243" s="335"/>
      <c r="E243" s="335"/>
      <c r="F243" s="335"/>
      <c r="G243" s="335"/>
      <c r="H243" s="335"/>
      <c r="I243" s="335"/>
      <c r="J243" s="335"/>
      <c r="K243" s="335"/>
      <c r="L243" s="335"/>
      <c r="M243" s="335"/>
      <c r="N243" s="335"/>
      <c r="O243" s="335"/>
      <c r="P243" s="335"/>
      <c r="Q243" s="335"/>
      <c r="R243" s="335"/>
      <c r="S243" s="335"/>
      <c r="T243" s="335"/>
      <c r="U243" s="335"/>
      <c r="V243" s="335"/>
      <c r="W243" s="335"/>
      <c r="X243" s="335"/>
      <c r="Y243" s="335"/>
      <c r="Z243" s="335"/>
      <c r="AA243" s="335"/>
      <c r="AB243" s="335"/>
      <c r="AC243" s="335"/>
      <c r="AD243" s="335"/>
      <c r="AE243" s="335"/>
      <c r="AF243" s="335"/>
      <c r="AG243" s="335"/>
      <c r="AH243" s="335"/>
      <c r="AI243" s="335"/>
      <c r="AJ243" s="335"/>
      <c r="AK243" s="335"/>
      <c r="AL243" s="335"/>
      <c r="AM243" s="335"/>
      <c r="AN243" s="335"/>
      <c r="AO243" s="335"/>
      <c r="AP243" s="335"/>
      <c r="AQ243" s="335"/>
      <c r="AR243" s="335"/>
      <c r="AS243" s="335"/>
      <c r="AT243" s="335"/>
      <c r="AU243" s="335"/>
      <c r="AV243" s="335"/>
      <c r="AW243" s="335"/>
      <c r="AX243" s="335"/>
      <c r="AY243" s="335"/>
      <c r="AZ243" s="335"/>
    </row>
    <row r="244" spans="1:52" ht="15.75" customHeight="1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335"/>
      <c r="S244" s="335"/>
      <c r="T244" s="335"/>
      <c r="U244" s="335"/>
      <c r="V244" s="335"/>
      <c r="W244" s="335"/>
      <c r="X244" s="335"/>
      <c r="Y244" s="335"/>
      <c r="Z244" s="335"/>
      <c r="AA244" s="335"/>
      <c r="AB244" s="335"/>
      <c r="AC244" s="335"/>
      <c r="AD244" s="335"/>
      <c r="AE244" s="335"/>
      <c r="AF244" s="335"/>
      <c r="AG244" s="335"/>
      <c r="AH244" s="335"/>
      <c r="AI244" s="335"/>
      <c r="AJ244" s="335"/>
      <c r="AK244" s="335"/>
      <c r="AL244" s="335"/>
      <c r="AM244" s="335"/>
      <c r="AN244" s="335"/>
      <c r="AO244" s="335"/>
      <c r="AP244" s="335"/>
      <c r="AQ244" s="335"/>
      <c r="AR244" s="335"/>
      <c r="AS244" s="335"/>
      <c r="AT244" s="335"/>
      <c r="AU244" s="335"/>
      <c r="AV244" s="335"/>
      <c r="AW244" s="335"/>
      <c r="AX244" s="335"/>
      <c r="AY244" s="335"/>
      <c r="AZ244" s="335"/>
    </row>
    <row r="245" spans="1:52" ht="15.75" customHeight="1">
      <c r="A245" s="335"/>
      <c r="B245" s="335"/>
      <c r="C245" s="335"/>
      <c r="D245" s="335"/>
      <c r="E245" s="335"/>
      <c r="F245" s="335"/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335"/>
      <c r="S245" s="335"/>
      <c r="T245" s="335"/>
      <c r="U245" s="335"/>
      <c r="V245" s="335"/>
      <c r="W245" s="335"/>
      <c r="X245" s="335"/>
      <c r="Y245" s="335"/>
      <c r="Z245" s="335"/>
      <c r="AA245" s="335"/>
      <c r="AB245" s="335"/>
      <c r="AC245" s="335"/>
      <c r="AD245" s="335"/>
      <c r="AE245" s="335"/>
      <c r="AF245" s="335"/>
      <c r="AG245" s="335"/>
      <c r="AH245" s="335"/>
      <c r="AI245" s="335"/>
      <c r="AJ245" s="335"/>
      <c r="AK245" s="335"/>
      <c r="AL245" s="335"/>
      <c r="AM245" s="335"/>
      <c r="AN245" s="335"/>
      <c r="AO245" s="335"/>
      <c r="AP245" s="335"/>
      <c r="AQ245" s="335"/>
      <c r="AR245" s="335"/>
      <c r="AS245" s="335"/>
      <c r="AT245" s="335"/>
      <c r="AU245" s="335"/>
      <c r="AV245" s="335"/>
      <c r="AW245" s="335"/>
      <c r="AX245" s="335"/>
      <c r="AY245" s="335"/>
      <c r="AZ245" s="335"/>
    </row>
    <row r="246" spans="1:52" ht="15.75" customHeight="1">
      <c r="A246" s="335"/>
      <c r="B246" s="335"/>
      <c r="C246" s="335"/>
      <c r="D246" s="335"/>
      <c r="E246" s="335"/>
      <c r="F246" s="335"/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335"/>
      <c r="S246" s="335"/>
      <c r="T246" s="335"/>
      <c r="U246" s="335"/>
      <c r="V246" s="335"/>
      <c r="W246" s="335"/>
      <c r="X246" s="335"/>
      <c r="Y246" s="335"/>
      <c r="Z246" s="335"/>
      <c r="AA246" s="335"/>
      <c r="AB246" s="335"/>
      <c r="AC246" s="335"/>
      <c r="AD246" s="335"/>
      <c r="AE246" s="335"/>
      <c r="AF246" s="335"/>
      <c r="AG246" s="335"/>
      <c r="AH246" s="335"/>
      <c r="AI246" s="335"/>
      <c r="AJ246" s="335"/>
      <c r="AK246" s="335"/>
      <c r="AL246" s="335"/>
      <c r="AM246" s="335"/>
      <c r="AN246" s="335"/>
      <c r="AO246" s="335"/>
      <c r="AP246" s="335"/>
      <c r="AQ246" s="335"/>
      <c r="AR246" s="335"/>
      <c r="AS246" s="335"/>
      <c r="AT246" s="335"/>
      <c r="AU246" s="335"/>
      <c r="AV246" s="335"/>
      <c r="AW246" s="335"/>
      <c r="AX246" s="335"/>
      <c r="AY246" s="335"/>
      <c r="AZ246" s="335"/>
    </row>
    <row r="247" spans="1:52" ht="15.75" customHeight="1">
      <c r="A247" s="335"/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335"/>
      <c r="AB247" s="335"/>
      <c r="AC247" s="335"/>
      <c r="AD247" s="335"/>
      <c r="AE247" s="335"/>
      <c r="AF247" s="335"/>
      <c r="AG247" s="335"/>
      <c r="AH247" s="335"/>
      <c r="AI247" s="335"/>
      <c r="AJ247" s="335"/>
      <c r="AK247" s="335"/>
      <c r="AL247" s="335"/>
      <c r="AM247" s="335"/>
      <c r="AN247" s="335"/>
      <c r="AO247" s="335"/>
      <c r="AP247" s="335"/>
      <c r="AQ247" s="335"/>
      <c r="AR247" s="335"/>
      <c r="AS247" s="335"/>
      <c r="AT247" s="335"/>
      <c r="AU247" s="335"/>
      <c r="AV247" s="335"/>
      <c r="AW247" s="335"/>
      <c r="AX247" s="335"/>
      <c r="AY247" s="335"/>
      <c r="AZ247" s="335"/>
    </row>
    <row r="248" spans="1:52" ht="15.75" customHeight="1">
      <c r="A248" s="335"/>
      <c r="B248" s="335"/>
      <c r="C248" s="335"/>
      <c r="D248" s="335"/>
      <c r="E248" s="335"/>
      <c r="F248" s="335"/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335"/>
      <c r="S248" s="335"/>
      <c r="T248" s="335"/>
      <c r="U248" s="335"/>
      <c r="V248" s="335"/>
      <c r="W248" s="335"/>
      <c r="X248" s="335"/>
      <c r="Y248" s="335"/>
      <c r="Z248" s="335"/>
      <c r="AA248" s="335"/>
      <c r="AB248" s="335"/>
      <c r="AC248" s="335"/>
      <c r="AD248" s="335"/>
      <c r="AE248" s="335"/>
      <c r="AF248" s="335"/>
      <c r="AG248" s="335"/>
      <c r="AH248" s="335"/>
      <c r="AI248" s="335"/>
      <c r="AJ248" s="335"/>
      <c r="AK248" s="335"/>
      <c r="AL248" s="335"/>
      <c r="AM248" s="335"/>
      <c r="AN248" s="335"/>
      <c r="AO248" s="335"/>
      <c r="AP248" s="335"/>
      <c r="AQ248" s="335"/>
      <c r="AR248" s="335"/>
      <c r="AS248" s="335"/>
      <c r="AT248" s="335"/>
      <c r="AU248" s="335"/>
      <c r="AV248" s="335"/>
      <c r="AW248" s="335"/>
      <c r="AX248" s="335"/>
      <c r="AY248" s="335"/>
      <c r="AZ248" s="335"/>
    </row>
    <row r="249" spans="1:52" ht="15.75" customHeight="1">
      <c r="A249" s="335"/>
      <c r="B249" s="335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  <c r="AA249" s="335"/>
      <c r="AB249" s="335"/>
      <c r="AC249" s="335"/>
      <c r="AD249" s="335"/>
      <c r="AE249" s="335"/>
      <c r="AF249" s="335"/>
      <c r="AG249" s="335"/>
      <c r="AH249" s="335"/>
      <c r="AI249" s="335"/>
      <c r="AJ249" s="335"/>
      <c r="AK249" s="335"/>
      <c r="AL249" s="335"/>
      <c r="AM249" s="335"/>
      <c r="AN249" s="335"/>
      <c r="AO249" s="335"/>
      <c r="AP249" s="335"/>
      <c r="AQ249" s="335"/>
      <c r="AR249" s="335"/>
      <c r="AS249" s="335"/>
      <c r="AT249" s="335"/>
      <c r="AU249" s="335"/>
      <c r="AV249" s="335"/>
      <c r="AW249" s="335"/>
      <c r="AX249" s="335"/>
      <c r="AY249" s="335"/>
      <c r="AZ249" s="335"/>
    </row>
    <row r="250" spans="1:52" ht="15.75" customHeight="1">
      <c r="A250" s="335"/>
      <c r="B250" s="335"/>
      <c r="C250" s="335"/>
      <c r="D250" s="335"/>
      <c r="E250" s="335"/>
      <c r="F250" s="335"/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335"/>
      <c r="S250" s="335"/>
      <c r="T250" s="335"/>
      <c r="U250" s="335"/>
      <c r="V250" s="335"/>
      <c r="W250" s="335"/>
      <c r="X250" s="335"/>
      <c r="Y250" s="335"/>
      <c r="Z250" s="335"/>
      <c r="AA250" s="335"/>
      <c r="AB250" s="335"/>
      <c r="AC250" s="335"/>
      <c r="AD250" s="335"/>
      <c r="AE250" s="335"/>
      <c r="AF250" s="335"/>
      <c r="AG250" s="335"/>
      <c r="AH250" s="335"/>
      <c r="AI250" s="335"/>
      <c r="AJ250" s="335"/>
      <c r="AK250" s="335"/>
      <c r="AL250" s="335"/>
      <c r="AM250" s="335"/>
      <c r="AN250" s="335"/>
      <c r="AO250" s="335"/>
      <c r="AP250" s="335"/>
      <c r="AQ250" s="335"/>
      <c r="AR250" s="335"/>
      <c r="AS250" s="335"/>
      <c r="AT250" s="335"/>
      <c r="AU250" s="335"/>
      <c r="AV250" s="335"/>
      <c r="AW250" s="335"/>
      <c r="AX250" s="335"/>
      <c r="AY250" s="335"/>
      <c r="AZ250" s="335"/>
    </row>
    <row r="251" spans="1:52" ht="15.75" customHeight="1">
      <c r="A251" s="335"/>
      <c r="B251" s="335"/>
      <c r="C251" s="335"/>
      <c r="D251" s="335"/>
      <c r="E251" s="335"/>
      <c r="F251" s="335"/>
      <c r="G251" s="335"/>
      <c r="H251" s="335"/>
      <c r="I251" s="335"/>
      <c r="J251" s="335"/>
      <c r="K251" s="335"/>
      <c r="L251" s="335"/>
      <c r="M251" s="335"/>
      <c r="N251" s="335"/>
      <c r="O251" s="335"/>
      <c r="P251" s="335"/>
      <c r="Q251" s="335"/>
      <c r="R251" s="335"/>
      <c r="S251" s="335"/>
      <c r="T251" s="335"/>
      <c r="U251" s="335"/>
      <c r="V251" s="335"/>
      <c r="W251" s="335"/>
      <c r="X251" s="335"/>
      <c r="Y251" s="335"/>
      <c r="Z251" s="335"/>
      <c r="AA251" s="335"/>
      <c r="AB251" s="335"/>
      <c r="AC251" s="335"/>
      <c r="AD251" s="335"/>
      <c r="AE251" s="335"/>
      <c r="AF251" s="335"/>
      <c r="AG251" s="335"/>
      <c r="AH251" s="335"/>
      <c r="AI251" s="335"/>
      <c r="AJ251" s="335"/>
      <c r="AK251" s="335"/>
      <c r="AL251" s="335"/>
      <c r="AM251" s="335"/>
      <c r="AN251" s="335"/>
      <c r="AO251" s="335"/>
      <c r="AP251" s="335"/>
      <c r="AQ251" s="335"/>
      <c r="AR251" s="335"/>
      <c r="AS251" s="335"/>
      <c r="AT251" s="335"/>
      <c r="AU251" s="335"/>
      <c r="AV251" s="335"/>
      <c r="AW251" s="335"/>
      <c r="AX251" s="335"/>
      <c r="AY251" s="335"/>
      <c r="AZ251" s="335"/>
    </row>
    <row r="252" spans="1:52" ht="15.75" customHeight="1">
      <c r="A252" s="335"/>
      <c r="B252" s="335"/>
      <c r="C252" s="335"/>
      <c r="D252" s="335"/>
      <c r="E252" s="335"/>
      <c r="F252" s="335"/>
      <c r="G252" s="335"/>
      <c r="H252" s="335"/>
      <c r="I252" s="335"/>
      <c r="J252" s="335"/>
      <c r="K252" s="335"/>
      <c r="L252" s="335"/>
      <c r="M252" s="335"/>
      <c r="N252" s="335"/>
      <c r="O252" s="335"/>
      <c r="P252" s="335"/>
      <c r="Q252" s="335"/>
      <c r="R252" s="335"/>
      <c r="S252" s="335"/>
      <c r="T252" s="335"/>
      <c r="U252" s="335"/>
      <c r="V252" s="335"/>
      <c r="W252" s="335"/>
      <c r="X252" s="335"/>
      <c r="Y252" s="335"/>
      <c r="Z252" s="335"/>
      <c r="AA252" s="335"/>
      <c r="AB252" s="335"/>
      <c r="AC252" s="335"/>
      <c r="AD252" s="335"/>
      <c r="AE252" s="335"/>
      <c r="AF252" s="335"/>
      <c r="AG252" s="335"/>
      <c r="AH252" s="335"/>
      <c r="AI252" s="335"/>
      <c r="AJ252" s="335"/>
      <c r="AK252" s="335"/>
      <c r="AL252" s="335"/>
      <c r="AM252" s="335"/>
      <c r="AN252" s="335"/>
      <c r="AO252" s="335"/>
      <c r="AP252" s="335"/>
      <c r="AQ252" s="335"/>
      <c r="AR252" s="335"/>
      <c r="AS252" s="335"/>
      <c r="AT252" s="335"/>
      <c r="AU252" s="335"/>
      <c r="AV252" s="335"/>
      <c r="AW252" s="335"/>
      <c r="AX252" s="335"/>
      <c r="AY252" s="335"/>
      <c r="AZ252" s="335"/>
    </row>
    <row r="253" spans="1:52" ht="15.75" customHeight="1">
      <c r="A253" s="335"/>
      <c r="B253" s="335"/>
      <c r="C253" s="335"/>
      <c r="D253" s="335"/>
      <c r="E253" s="335"/>
      <c r="F253" s="335"/>
      <c r="G253" s="335"/>
      <c r="H253" s="335"/>
      <c r="I253" s="335"/>
      <c r="J253" s="335"/>
      <c r="K253" s="335"/>
      <c r="L253" s="335"/>
      <c r="M253" s="335"/>
      <c r="N253" s="335"/>
      <c r="O253" s="335"/>
      <c r="P253" s="335"/>
      <c r="Q253" s="335"/>
      <c r="R253" s="335"/>
      <c r="S253" s="335"/>
      <c r="T253" s="335"/>
      <c r="U253" s="335"/>
      <c r="V253" s="335"/>
      <c r="W253" s="335"/>
      <c r="X253" s="335"/>
      <c r="Y253" s="335"/>
      <c r="Z253" s="335"/>
      <c r="AA253" s="335"/>
      <c r="AB253" s="335"/>
      <c r="AC253" s="335"/>
      <c r="AD253" s="335"/>
      <c r="AE253" s="335"/>
      <c r="AF253" s="335"/>
      <c r="AG253" s="335"/>
      <c r="AH253" s="335"/>
      <c r="AI253" s="335"/>
      <c r="AJ253" s="335"/>
      <c r="AK253" s="335"/>
      <c r="AL253" s="335"/>
      <c r="AM253" s="335"/>
      <c r="AN253" s="335"/>
      <c r="AO253" s="335"/>
      <c r="AP253" s="335"/>
      <c r="AQ253" s="335"/>
      <c r="AR253" s="335"/>
      <c r="AS253" s="335"/>
      <c r="AT253" s="335"/>
      <c r="AU253" s="335"/>
      <c r="AV253" s="335"/>
      <c r="AW253" s="335"/>
      <c r="AX253" s="335"/>
      <c r="AY253" s="335"/>
      <c r="AZ253" s="335"/>
    </row>
    <row r="254" spans="1:52" ht="15.75" customHeight="1">
      <c r="A254" s="335"/>
      <c r="B254" s="335"/>
      <c r="C254" s="335"/>
      <c r="D254" s="335"/>
      <c r="E254" s="335"/>
      <c r="F254" s="335"/>
      <c r="G254" s="335"/>
      <c r="H254" s="335"/>
      <c r="I254" s="335"/>
      <c r="J254" s="335"/>
      <c r="K254" s="335"/>
      <c r="L254" s="335"/>
      <c r="M254" s="335"/>
      <c r="N254" s="335"/>
      <c r="O254" s="335"/>
      <c r="P254" s="335"/>
      <c r="Q254" s="335"/>
      <c r="R254" s="335"/>
      <c r="S254" s="335"/>
      <c r="T254" s="335"/>
      <c r="U254" s="335"/>
      <c r="V254" s="335"/>
      <c r="W254" s="335"/>
      <c r="X254" s="335"/>
      <c r="Y254" s="335"/>
      <c r="Z254" s="335"/>
      <c r="AA254" s="335"/>
      <c r="AB254" s="335"/>
      <c r="AC254" s="335"/>
      <c r="AD254" s="335"/>
      <c r="AE254" s="335"/>
      <c r="AF254" s="335"/>
      <c r="AG254" s="335"/>
      <c r="AH254" s="335"/>
      <c r="AI254" s="335"/>
      <c r="AJ254" s="335"/>
      <c r="AK254" s="335"/>
      <c r="AL254" s="335"/>
      <c r="AM254" s="335"/>
      <c r="AN254" s="335"/>
      <c r="AO254" s="335"/>
      <c r="AP254" s="335"/>
      <c r="AQ254" s="335"/>
      <c r="AR254" s="335"/>
      <c r="AS254" s="335"/>
      <c r="AT254" s="335"/>
      <c r="AU254" s="335"/>
      <c r="AV254" s="335"/>
      <c r="AW254" s="335"/>
      <c r="AX254" s="335"/>
      <c r="AY254" s="335"/>
      <c r="AZ254" s="335"/>
    </row>
    <row r="255" spans="1:52" ht="15.75" customHeight="1">
      <c r="A255" s="335"/>
      <c r="B255" s="335"/>
      <c r="C255" s="335"/>
      <c r="D255" s="335"/>
      <c r="E255" s="335"/>
      <c r="F255" s="335"/>
      <c r="G255" s="335"/>
      <c r="H255" s="335"/>
      <c r="I255" s="335"/>
      <c r="J255" s="335"/>
      <c r="K255" s="335"/>
      <c r="L255" s="335"/>
      <c r="M255" s="335"/>
      <c r="N255" s="335"/>
      <c r="O255" s="335"/>
      <c r="P255" s="335"/>
      <c r="Q255" s="335"/>
      <c r="R255" s="335"/>
      <c r="S255" s="335"/>
      <c r="T255" s="335"/>
      <c r="U255" s="335"/>
      <c r="V255" s="335"/>
      <c r="W255" s="335"/>
      <c r="X255" s="335"/>
      <c r="Y255" s="335"/>
      <c r="Z255" s="335"/>
      <c r="AA255" s="335"/>
      <c r="AB255" s="335"/>
      <c r="AC255" s="335"/>
      <c r="AD255" s="335"/>
      <c r="AE255" s="335"/>
      <c r="AF255" s="335"/>
      <c r="AG255" s="335"/>
      <c r="AH255" s="335"/>
      <c r="AI255" s="335"/>
      <c r="AJ255" s="335"/>
      <c r="AK255" s="335"/>
      <c r="AL255" s="335"/>
      <c r="AM255" s="335"/>
      <c r="AN255" s="335"/>
      <c r="AO255" s="335"/>
      <c r="AP255" s="335"/>
      <c r="AQ255" s="335"/>
      <c r="AR255" s="335"/>
      <c r="AS255" s="335"/>
      <c r="AT255" s="335"/>
      <c r="AU255" s="335"/>
      <c r="AV255" s="335"/>
      <c r="AW255" s="335"/>
      <c r="AX255" s="335"/>
      <c r="AY255" s="335"/>
      <c r="AZ255" s="335"/>
    </row>
    <row r="256" spans="1:52" ht="15.75" customHeight="1">
      <c r="A256" s="335"/>
      <c r="B256" s="335"/>
      <c r="C256" s="335"/>
      <c r="D256" s="335"/>
      <c r="E256" s="335"/>
      <c r="F256" s="335"/>
      <c r="G256" s="335"/>
      <c r="H256" s="335"/>
      <c r="I256" s="335"/>
      <c r="J256" s="335"/>
      <c r="K256" s="335"/>
      <c r="L256" s="335"/>
      <c r="M256" s="335"/>
      <c r="N256" s="335"/>
      <c r="O256" s="335"/>
      <c r="P256" s="335"/>
      <c r="Q256" s="335"/>
      <c r="R256" s="335"/>
      <c r="S256" s="335"/>
      <c r="T256" s="335"/>
      <c r="U256" s="335"/>
      <c r="V256" s="335"/>
      <c r="W256" s="335"/>
      <c r="X256" s="335"/>
      <c r="Y256" s="335"/>
      <c r="Z256" s="335"/>
      <c r="AA256" s="335"/>
      <c r="AB256" s="335"/>
      <c r="AC256" s="335"/>
      <c r="AD256" s="335"/>
      <c r="AE256" s="335"/>
      <c r="AF256" s="335"/>
      <c r="AG256" s="335"/>
      <c r="AH256" s="335"/>
      <c r="AI256" s="335"/>
      <c r="AJ256" s="335"/>
      <c r="AK256" s="335"/>
      <c r="AL256" s="335"/>
      <c r="AM256" s="335"/>
      <c r="AN256" s="335"/>
      <c r="AO256" s="335"/>
      <c r="AP256" s="335"/>
      <c r="AQ256" s="335"/>
      <c r="AR256" s="335"/>
      <c r="AS256" s="335"/>
      <c r="AT256" s="335"/>
      <c r="AU256" s="335"/>
      <c r="AV256" s="335"/>
      <c r="AW256" s="335"/>
      <c r="AX256" s="335"/>
      <c r="AY256" s="335"/>
      <c r="AZ256" s="335"/>
    </row>
    <row r="257" spans="1:52" ht="15.75" customHeight="1">
      <c r="A257" s="335"/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  <c r="AA257" s="335"/>
      <c r="AB257" s="335"/>
      <c r="AC257" s="335"/>
      <c r="AD257" s="335"/>
      <c r="AE257" s="335"/>
      <c r="AF257" s="335"/>
      <c r="AG257" s="335"/>
      <c r="AH257" s="335"/>
      <c r="AI257" s="335"/>
      <c r="AJ257" s="335"/>
      <c r="AK257" s="335"/>
      <c r="AL257" s="335"/>
      <c r="AM257" s="335"/>
      <c r="AN257" s="335"/>
      <c r="AO257" s="335"/>
      <c r="AP257" s="335"/>
      <c r="AQ257" s="335"/>
      <c r="AR257" s="335"/>
      <c r="AS257" s="335"/>
      <c r="AT257" s="335"/>
      <c r="AU257" s="335"/>
      <c r="AV257" s="335"/>
      <c r="AW257" s="335"/>
      <c r="AX257" s="335"/>
      <c r="AY257" s="335"/>
      <c r="AZ257" s="335"/>
    </row>
    <row r="258" spans="1:52" ht="15.75" customHeight="1">
      <c r="A258" s="335"/>
      <c r="B258" s="335"/>
      <c r="C258" s="335"/>
      <c r="D258" s="335"/>
      <c r="E258" s="335"/>
      <c r="F258" s="335"/>
      <c r="G258" s="335"/>
      <c r="H258" s="335"/>
      <c r="I258" s="335"/>
      <c r="J258" s="335"/>
      <c r="K258" s="335"/>
      <c r="L258" s="335"/>
      <c r="M258" s="335"/>
      <c r="N258" s="335"/>
      <c r="O258" s="335"/>
      <c r="P258" s="335"/>
      <c r="Q258" s="335"/>
      <c r="R258" s="335"/>
      <c r="S258" s="335"/>
      <c r="T258" s="335"/>
      <c r="U258" s="335"/>
      <c r="V258" s="335"/>
      <c r="W258" s="335"/>
      <c r="X258" s="335"/>
      <c r="Y258" s="335"/>
      <c r="Z258" s="335"/>
      <c r="AA258" s="335"/>
      <c r="AB258" s="335"/>
      <c r="AC258" s="335"/>
      <c r="AD258" s="335"/>
      <c r="AE258" s="335"/>
      <c r="AF258" s="335"/>
      <c r="AG258" s="335"/>
      <c r="AH258" s="335"/>
      <c r="AI258" s="335"/>
      <c r="AJ258" s="335"/>
      <c r="AK258" s="335"/>
      <c r="AL258" s="335"/>
      <c r="AM258" s="335"/>
      <c r="AN258" s="335"/>
      <c r="AO258" s="335"/>
      <c r="AP258" s="335"/>
      <c r="AQ258" s="335"/>
      <c r="AR258" s="335"/>
      <c r="AS258" s="335"/>
      <c r="AT258" s="335"/>
      <c r="AU258" s="335"/>
      <c r="AV258" s="335"/>
      <c r="AW258" s="335"/>
      <c r="AX258" s="335"/>
      <c r="AY258" s="335"/>
      <c r="AZ258" s="335"/>
    </row>
    <row r="259" spans="1:52" ht="15.75" customHeight="1">
      <c r="A259" s="335"/>
      <c r="B259" s="335"/>
      <c r="C259" s="335"/>
      <c r="D259" s="335"/>
      <c r="E259" s="335"/>
      <c r="F259" s="335"/>
      <c r="G259" s="335"/>
      <c r="H259" s="335"/>
      <c r="I259" s="335"/>
      <c r="J259" s="335"/>
      <c r="K259" s="335"/>
      <c r="L259" s="335"/>
      <c r="M259" s="335"/>
      <c r="N259" s="335"/>
      <c r="O259" s="335"/>
      <c r="P259" s="335"/>
      <c r="Q259" s="335"/>
      <c r="R259" s="335"/>
      <c r="S259" s="335"/>
      <c r="T259" s="335"/>
      <c r="U259" s="335"/>
      <c r="V259" s="335"/>
      <c r="W259" s="335"/>
      <c r="X259" s="335"/>
      <c r="Y259" s="335"/>
      <c r="Z259" s="335"/>
      <c r="AA259" s="335"/>
      <c r="AB259" s="335"/>
      <c r="AC259" s="335"/>
      <c r="AD259" s="335"/>
      <c r="AE259" s="335"/>
      <c r="AF259" s="335"/>
      <c r="AG259" s="335"/>
      <c r="AH259" s="335"/>
      <c r="AI259" s="335"/>
      <c r="AJ259" s="335"/>
      <c r="AK259" s="335"/>
      <c r="AL259" s="335"/>
      <c r="AM259" s="335"/>
      <c r="AN259" s="335"/>
      <c r="AO259" s="335"/>
      <c r="AP259" s="335"/>
      <c r="AQ259" s="335"/>
      <c r="AR259" s="335"/>
      <c r="AS259" s="335"/>
      <c r="AT259" s="335"/>
      <c r="AU259" s="335"/>
      <c r="AV259" s="335"/>
      <c r="AW259" s="335"/>
      <c r="AX259" s="335"/>
      <c r="AY259" s="335"/>
      <c r="AZ259" s="335"/>
    </row>
    <row r="260" spans="1:52" ht="15.75" customHeight="1">
      <c r="A260" s="335"/>
      <c r="B260" s="335"/>
      <c r="C260" s="335"/>
      <c r="D260" s="335"/>
      <c r="E260" s="335"/>
      <c r="F260" s="335"/>
      <c r="G260" s="335"/>
      <c r="H260" s="335"/>
      <c r="I260" s="335"/>
      <c r="J260" s="335"/>
      <c r="K260" s="335"/>
      <c r="L260" s="335"/>
      <c r="M260" s="335"/>
      <c r="N260" s="335"/>
      <c r="O260" s="335"/>
      <c r="P260" s="335"/>
      <c r="Q260" s="335"/>
      <c r="R260" s="335"/>
      <c r="S260" s="335"/>
      <c r="T260" s="335"/>
      <c r="U260" s="335"/>
      <c r="V260" s="335"/>
      <c r="W260" s="335"/>
      <c r="X260" s="335"/>
      <c r="Y260" s="335"/>
      <c r="Z260" s="335"/>
      <c r="AA260" s="335"/>
      <c r="AB260" s="335"/>
      <c r="AC260" s="335"/>
      <c r="AD260" s="335"/>
      <c r="AE260" s="335"/>
      <c r="AF260" s="335"/>
      <c r="AG260" s="335"/>
      <c r="AH260" s="335"/>
      <c r="AI260" s="335"/>
      <c r="AJ260" s="335"/>
      <c r="AK260" s="335"/>
      <c r="AL260" s="335"/>
      <c r="AM260" s="335"/>
      <c r="AN260" s="335"/>
      <c r="AO260" s="335"/>
      <c r="AP260" s="335"/>
      <c r="AQ260" s="335"/>
      <c r="AR260" s="335"/>
      <c r="AS260" s="335"/>
      <c r="AT260" s="335"/>
      <c r="AU260" s="335"/>
      <c r="AV260" s="335"/>
      <c r="AW260" s="335"/>
      <c r="AX260" s="335"/>
      <c r="AY260" s="335"/>
      <c r="AZ260" s="335"/>
    </row>
    <row r="261" spans="1:52" ht="15.75" customHeight="1">
      <c r="A261" s="335"/>
      <c r="B261" s="335"/>
      <c r="C261" s="335"/>
      <c r="D261" s="335"/>
      <c r="E261" s="335"/>
      <c r="F261" s="335"/>
      <c r="G261" s="335"/>
      <c r="H261" s="335"/>
      <c r="I261" s="335"/>
      <c r="J261" s="335"/>
      <c r="K261" s="335"/>
      <c r="L261" s="335"/>
      <c r="M261" s="335"/>
      <c r="N261" s="335"/>
      <c r="O261" s="335"/>
      <c r="P261" s="335"/>
      <c r="Q261" s="335"/>
      <c r="R261" s="335"/>
      <c r="S261" s="335"/>
      <c r="T261" s="335"/>
      <c r="U261" s="335"/>
      <c r="V261" s="335"/>
      <c r="W261" s="335"/>
      <c r="X261" s="335"/>
      <c r="Y261" s="335"/>
      <c r="Z261" s="335"/>
      <c r="AA261" s="335"/>
      <c r="AB261" s="335"/>
      <c r="AC261" s="335"/>
      <c r="AD261" s="335"/>
      <c r="AE261" s="335"/>
      <c r="AF261" s="335"/>
      <c r="AG261" s="335"/>
      <c r="AH261" s="335"/>
      <c r="AI261" s="335"/>
      <c r="AJ261" s="335"/>
      <c r="AK261" s="335"/>
      <c r="AL261" s="335"/>
      <c r="AM261" s="335"/>
      <c r="AN261" s="335"/>
      <c r="AO261" s="335"/>
      <c r="AP261" s="335"/>
      <c r="AQ261" s="335"/>
      <c r="AR261" s="335"/>
      <c r="AS261" s="335"/>
      <c r="AT261" s="335"/>
      <c r="AU261" s="335"/>
      <c r="AV261" s="335"/>
      <c r="AW261" s="335"/>
      <c r="AX261" s="335"/>
      <c r="AY261" s="335"/>
      <c r="AZ261" s="335"/>
    </row>
    <row r="262" spans="1:52" ht="15.75" customHeight="1">
      <c r="A262" s="335"/>
      <c r="B262" s="335"/>
      <c r="C262" s="335"/>
      <c r="D262" s="335"/>
      <c r="E262" s="335"/>
      <c r="F262" s="335"/>
      <c r="G262" s="335"/>
      <c r="H262" s="335"/>
      <c r="I262" s="335"/>
      <c r="J262" s="335"/>
      <c r="K262" s="335"/>
      <c r="L262" s="335"/>
      <c r="M262" s="335"/>
      <c r="N262" s="335"/>
      <c r="O262" s="335"/>
      <c r="P262" s="335"/>
      <c r="Q262" s="335"/>
      <c r="R262" s="335"/>
      <c r="S262" s="335"/>
      <c r="T262" s="335"/>
      <c r="U262" s="335"/>
      <c r="V262" s="335"/>
      <c r="W262" s="335"/>
      <c r="X262" s="335"/>
      <c r="Y262" s="335"/>
      <c r="Z262" s="335"/>
      <c r="AA262" s="335"/>
      <c r="AB262" s="335"/>
      <c r="AC262" s="335"/>
      <c r="AD262" s="335"/>
      <c r="AE262" s="335"/>
      <c r="AF262" s="335"/>
      <c r="AG262" s="335"/>
      <c r="AH262" s="335"/>
      <c r="AI262" s="335"/>
      <c r="AJ262" s="335"/>
      <c r="AK262" s="335"/>
      <c r="AL262" s="335"/>
      <c r="AM262" s="335"/>
      <c r="AN262" s="335"/>
      <c r="AO262" s="335"/>
      <c r="AP262" s="335"/>
      <c r="AQ262" s="335"/>
      <c r="AR262" s="335"/>
      <c r="AS262" s="335"/>
      <c r="AT262" s="335"/>
      <c r="AU262" s="335"/>
      <c r="AV262" s="335"/>
      <c r="AW262" s="335"/>
      <c r="AX262" s="335"/>
      <c r="AY262" s="335"/>
      <c r="AZ262" s="335"/>
    </row>
    <row r="263" spans="1:52" ht="15.75" customHeight="1">
      <c r="A263" s="335"/>
      <c r="B263" s="335"/>
      <c r="C263" s="335"/>
      <c r="D263" s="335"/>
      <c r="E263" s="335"/>
      <c r="F263" s="335"/>
      <c r="G263" s="335"/>
      <c r="H263" s="335"/>
      <c r="I263" s="335"/>
      <c r="J263" s="335"/>
      <c r="K263" s="335"/>
      <c r="L263" s="335"/>
      <c r="M263" s="335"/>
      <c r="N263" s="335"/>
      <c r="O263" s="335"/>
      <c r="P263" s="335"/>
      <c r="Q263" s="335"/>
      <c r="R263" s="335"/>
      <c r="S263" s="335"/>
      <c r="T263" s="335"/>
      <c r="U263" s="335"/>
      <c r="V263" s="335"/>
      <c r="W263" s="335"/>
      <c r="X263" s="335"/>
      <c r="Y263" s="335"/>
      <c r="Z263" s="335"/>
      <c r="AA263" s="335"/>
      <c r="AB263" s="335"/>
      <c r="AC263" s="335"/>
      <c r="AD263" s="335"/>
      <c r="AE263" s="335"/>
      <c r="AF263" s="335"/>
      <c r="AG263" s="335"/>
      <c r="AH263" s="335"/>
      <c r="AI263" s="335"/>
      <c r="AJ263" s="335"/>
      <c r="AK263" s="335"/>
      <c r="AL263" s="335"/>
      <c r="AM263" s="335"/>
      <c r="AN263" s="335"/>
      <c r="AO263" s="335"/>
      <c r="AP263" s="335"/>
      <c r="AQ263" s="335"/>
      <c r="AR263" s="335"/>
      <c r="AS263" s="335"/>
      <c r="AT263" s="335"/>
      <c r="AU263" s="335"/>
      <c r="AV263" s="335"/>
      <c r="AW263" s="335"/>
      <c r="AX263" s="335"/>
      <c r="AY263" s="335"/>
      <c r="AZ263" s="335"/>
    </row>
    <row r="264" spans="1:52" ht="15.75" customHeight="1">
      <c r="A264" s="335"/>
      <c r="B264" s="335"/>
      <c r="C264" s="335"/>
      <c r="D264" s="335"/>
      <c r="E264" s="335"/>
      <c r="F264" s="335"/>
      <c r="G264" s="335"/>
      <c r="H264" s="335"/>
      <c r="I264" s="335"/>
      <c r="J264" s="335"/>
      <c r="K264" s="335"/>
      <c r="L264" s="335"/>
      <c r="M264" s="335"/>
      <c r="N264" s="335"/>
      <c r="O264" s="335"/>
      <c r="P264" s="335"/>
      <c r="Q264" s="335"/>
      <c r="R264" s="335"/>
      <c r="S264" s="335"/>
      <c r="T264" s="335"/>
      <c r="U264" s="335"/>
      <c r="V264" s="335"/>
      <c r="W264" s="335"/>
      <c r="X264" s="335"/>
      <c r="Y264" s="335"/>
      <c r="Z264" s="335"/>
      <c r="AA264" s="335"/>
      <c r="AB264" s="335"/>
      <c r="AC264" s="335"/>
      <c r="AD264" s="335"/>
      <c r="AE264" s="335"/>
      <c r="AF264" s="335"/>
      <c r="AG264" s="335"/>
      <c r="AH264" s="335"/>
      <c r="AI264" s="335"/>
      <c r="AJ264" s="335"/>
      <c r="AK264" s="335"/>
      <c r="AL264" s="335"/>
      <c r="AM264" s="335"/>
      <c r="AN264" s="335"/>
      <c r="AO264" s="335"/>
      <c r="AP264" s="335"/>
      <c r="AQ264" s="335"/>
      <c r="AR264" s="335"/>
      <c r="AS264" s="335"/>
      <c r="AT264" s="335"/>
      <c r="AU264" s="335"/>
      <c r="AV264" s="335"/>
      <c r="AW264" s="335"/>
      <c r="AX264" s="335"/>
      <c r="AY264" s="335"/>
      <c r="AZ264" s="335"/>
    </row>
    <row r="265" spans="1:52" ht="15.75" customHeight="1"/>
    <row r="266" spans="1:52" ht="15.75" customHeight="1"/>
    <row r="267" spans="1:52" ht="15.75" customHeight="1"/>
    <row r="268" spans="1:52" ht="15.75" customHeight="1"/>
    <row r="269" spans="1:52" ht="15.75" customHeight="1"/>
    <row r="270" spans="1:52" ht="15.75" customHeight="1"/>
    <row r="271" spans="1:52" ht="15.75" customHeight="1"/>
    <row r="272" spans="1:5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69">
    <mergeCell ref="AD35:AD36"/>
    <mergeCell ref="AE35:AX35"/>
    <mergeCell ref="A4:G4"/>
    <mergeCell ref="I4:M4"/>
    <mergeCell ref="O4:T4"/>
    <mergeCell ref="A5:E5"/>
    <mergeCell ref="F5:G5"/>
    <mergeCell ref="K5:L5"/>
    <mergeCell ref="R5:S5"/>
    <mergeCell ref="A13:D14"/>
    <mergeCell ref="O10:T10"/>
    <mergeCell ref="A8:E8"/>
    <mergeCell ref="F8:G8"/>
    <mergeCell ref="K8:L8"/>
    <mergeCell ref="A9:E9"/>
    <mergeCell ref="R6:S6"/>
    <mergeCell ref="R7:S7"/>
    <mergeCell ref="R8:S8"/>
    <mergeCell ref="AY35:AY36"/>
    <mergeCell ref="AZ35:AZ36"/>
    <mergeCell ref="A6:E6"/>
    <mergeCell ref="F6:G6"/>
    <mergeCell ref="K6:L6"/>
    <mergeCell ref="P6:Q6"/>
    <mergeCell ref="A7:E7"/>
    <mergeCell ref="F7:G7"/>
    <mergeCell ref="K7:L7"/>
    <mergeCell ref="K9:L9"/>
    <mergeCell ref="P11:S11"/>
    <mergeCell ref="A12:E12"/>
    <mergeCell ref="F12:G12"/>
    <mergeCell ref="K12:L12"/>
    <mergeCell ref="F9:G9"/>
    <mergeCell ref="A10:E10"/>
    <mergeCell ref="F10:G10"/>
    <mergeCell ref="A11:E11"/>
    <mergeCell ref="F11:G11"/>
    <mergeCell ref="K10:L10"/>
    <mergeCell ref="C101:D101"/>
    <mergeCell ref="F101:G101"/>
    <mergeCell ref="I101:L101"/>
    <mergeCell ref="B102:B104"/>
    <mergeCell ref="B89:B91"/>
    <mergeCell ref="A16:E16"/>
    <mergeCell ref="F16:G16"/>
    <mergeCell ref="I17:M17"/>
    <mergeCell ref="J18:L18"/>
    <mergeCell ref="M89:M91"/>
    <mergeCell ref="F75:G75"/>
    <mergeCell ref="I75:L75"/>
    <mergeCell ref="M76:M78"/>
    <mergeCell ref="C75:D75"/>
    <mergeCell ref="B76:B78"/>
    <mergeCell ref="M102:M104"/>
    <mergeCell ref="I11:M11"/>
    <mergeCell ref="C88:D88"/>
    <mergeCell ref="F88:G88"/>
    <mergeCell ref="I88:L88"/>
    <mergeCell ref="E13:F14"/>
    <mergeCell ref="K13:L13"/>
    <mergeCell ref="K14:L14"/>
    <mergeCell ref="A15:G15"/>
    <mergeCell ref="I15:J15"/>
    <mergeCell ref="K15:L15"/>
    <mergeCell ref="B63:B65"/>
    <mergeCell ref="C63:D63"/>
    <mergeCell ref="F63:G63"/>
    <mergeCell ref="I63:L63"/>
    <mergeCell ref="M63:M65"/>
  </mergeCells>
  <dataValidations count="7">
    <dataValidation type="list" allowBlank="1" showErrorMessage="1" sqref="F10" xr:uid="{00000000-0002-0000-0900-000000000000}">
      <formula1>$AK$31:$AK$32</formula1>
    </dataValidation>
    <dataValidation type="list" allowBlank="1" showErrorMessage="1" sqref="F6" xr:uid="{00000000-0002-0000-0900-000001000000}">
      <formula1>$AD$37:$AD$61</formula1>
    </dataValidation>
    <dataValidation type="list" allowBlank="1" showErrorMessage="1" sqref="F16" xr:uid="{00000000-0002-0000-0900-000002000000}">
      <formula1>$AM$31:$AM$32</formula1>
    </dataValidation>
    <dataValidation type="list" allowBlank="1" showErrorMessage="1" sqref="F9" xr:uid="{00000000-0002-0000-0900-000003000000}">
      <formula1>$AI$31:$AI$32</formula1>
    </dataValidation>
    <dataValidation type="list" allowBlank="1" showErrorMessage="1" sqref="F7" xr:uid="{00000000-0002-0000-0900-000004000000}">
      <formula1>$AG$28:$AQ$28</formula1>
    </dataValidation>
    <dataValidation type="list" allowBlank="1" showErrorMessage="1" sqref="F5" xr:uid="{00000000-0002-0000-0900-000005000000}">
      <formula1>$AD$28:$AD$33</formula1>
    </dataValidation>
    <dataValidation type="list" allowBlank="1" showErrorMessage="1" sqref="F8" xr:uid="{00000000-0002-0000-0900-000006000000}">
      <formula1>$AG$31:$AG$33</formula1>
    </dataValidation>
  </dataValidations>
  <printOptions horizontalCentered="1"/>
  <pageMargins left="0.25" right="0.25" top="0.75" bottom="0.75" header="0" footer="0"/>
  <pageSetup paperSize="9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"/>
  <sheetViews>
    <sheetView topLeftCell="A4" workbookViewId="0">
      <selection activeCell="K31" sqref="K31"/>
    </sheetView>
  </sheetViews>
  <sheetFormatPr defaultRowHeight="15"/>
  <cols>
    <col min="1" max="1" width="5.5703125" customWidth="1"/>
    <col min="2" max="2" width="11.85546875" customWidth="1"/>
    <col min="3" max="3" width="10" style="13" customWidth="1"/>
    <col min="5" max="5" width="7.5703125" bestFit="1" customWidth="1"/>
    <col min="6" max="6" width="7.42578125" customWidth="1"/>
    <col min="7" max="7" width="10.140625" customWidth="1"/>
    <col min="8" max="8" width="6.28515625" customWidth="1"/>
    <col min="9" max="9" width="10.7109375" customWidth="1"/>
    <col min="10" max="12" width="15.7109375" customWidth="1"/>
    <col min="13" max="18" width="5.7109375" customWidth="1"/>
  </cols>
  <sheetData>
    <row r="1" spans="1:18" ht="66.75" customHeight="1">
      <c r="A1" s="658" t="s">
        <v>186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95"/>
    </row>
    <row r="3" spans="1:18" ht="15.75">
      <c r="B3" s="168" t="s">
        <v>187</v>
      </c>
    </row>
    <row r="4" spans="1:18" ht="15.75" thickBot="1"/>
    <row r="5" spans="1:18" ht="16.5" thickBot="1">
      <c r="B5" s="169" t="s">
        <v>188</v>
      </c>
      <c r="C5" s="170"/>
      <c r="D5" s="4"/>
      <c r="E5" s="4"/>
      <c r="F5" s="5"/>
      <c r="H5" t="s">
        <v>189</v>
      </c>
    </row>
    <row r="6" spans="1:18" ht="15.75" thickBot="1">
      <c r="B6" s="7"/>
      <c r="F6" s="6"/>
      <c r="H6" s="696" t="s">
        <v>190</v>
      </c>
      <c r="I6" s="698" t="s">
        <v>191</v>
      </c>
      <c r="J6" s="700" t="s">
        <v>192</v>
      </c>
      <c r="K6" s="701"/>
      <c r="L6" s="702"/>
    </row>
    <row r="7" spans="1:18" ht="15.75" thickBot="1">
      <c r="B7" s="171" t="s">
        <v>193</v>
      </c>
      <c r="E7" s="172">
        <v>27.516999999999999</v>
      </c>
      <c r="F7" s="6"/>
      <c r="H7" s="697"/>
      <c r="I7" s="699"/>
      <c r="J7" s="173" t="s">
        <v>183</v>
      </c>
      <c r="K7" s="174" t="s">
        <v>194</v>
      </c>
      <c r="L7" s="175" t="s">
        <v>195</v>
      </c>
    </row>
    <row r="8" spans="1:18">
      <c r="B8" s="7"/>
      <c r="F8" s="6"/>
      <c r="H8" s="165">
        <v>1</v>
      </c>
      <c r="I8" s="176">
        <v>5</v>
      </c>
      <c r="J8" s="177">
        <v>0.75</v>
      </c>
      <c r="K8" s="177">
        <v>0.5</v>
      </c>
      <c r="L8" s="177">
        <v>0.4</v>
      </c>
    </row>
    <row r="9" spans="1:18">
      <c r="B9" s="178">
        <f>MATCH(C10,I8:I18,1)</f>
        <v>3</v>
      </c>
      <c r="C9" s="179">
        <f>INDEX(I8:I18,B9)</f>
        <v>20</v>
      </c>
      <c r="D9" s="179">
        <f>INDEX(J8:J18,B9)</f>
        <v>1.25</v>
      </c>
      <c r="F9" s="6"/>
      <c r="H9" s="1">
        <v>2</v>
      </c>
      <c r="I9" s="180">
        <v>10</v>
      </c>
      <c r="J9" s="181">
        <v>1</v>
      </c>
      <c r="K9" s="2">
        <v>0.65</v>
      </c>
      <c r="L9" s="2">
        <v>0.4</v>
      </c>
    </row>
    <row r="10" spans="1:18">
      <c r="B10" s="182"/>
      <c r="C10" s="183">
        <f>E7</f>
        <v>27.516999999999999</v>
      </c>
      <c r="D10" s="184">
        <f>D9+(C10-C9)*(D11-D9)/(C11-C9)</f>
        <v>1.3439624999999999</v>
      </c>
      <c r="F10" s="6"/>
      <c r="H10" s="1">
        <v>3</v>
      </c>
      <c r="I10" s="180">
        <v>20</v>
      </c>
      <c r="J10" s="2">
        <v>1.25</v>
      </c>
      <c r="K10" s="2">
        <v>0.85</v>
      </c>
      <c r="L10" s="2">
        <v>0.55000000000000004</v>
      </c>
    </row>
    <row r="11" spans="1:18">
      <c r="B11" s="178">
        <f>B9+1</f>
        <v>4</v>
      </c>
      <c r="C11" s="179">
        <f>INDEX(I8:I18,B11)</f>
        <v>40</v>
      </c>
      <c r="D11" s="179">
        <f>INDEX(J8:J18,B11)</f>
        <v>1.5</v>
      </c>
      <c r="F11" s="6"/>
      <c r="H11" s="1">
        <v>4</v>
      </c>
      <c r="I11" s="180">
        <v>40</v>
      </c>
      <c r="J11" s="2">
        <v>1.5</v>
      </c>
      <c r="K11" s="2">
        <v>1.1000000000000001</v>
      </c>
      <c r="L11" s="2">
        <v>0.8</v>
      </c>
    </row>
    <row r="12" spans="1:18" ht="15.75" thickBot="1">
      <c r="B12" s="7"/>
      <c r="F12" s="6"/>
      <c r="H12" s="1">
        <v>5</v>
      </c>
      <c r="I12" s="180">
        <v>60</v>
      </c>
      <c r="J12" s="2">
        <v>1.7</v>
      </c>
      <c r="K12" s="2">
        <v>1.3</v>
      </c>
      <c r="L12" s="2">
        <v>1</v>
      </c>
    </row>
    <row r="13" spans="1:18" ht="15.75" thickBot="1">
      <c r="B13" s="185" t="s">
        <v>196</v>
      </c>
      <c r="C13" s="186"/>
      <c r="D13" s="187"/>
      <c r="E13" s="188">
        <f>D10</f>
        <v>1.3439624999999999</v>
      </c>
      <c r="F13" s="6"/>
      <c r="H13" s="1">
        <v>6</v>
      </c>
      <c r="I13" s="180">
        <v>80</v>
      </c>
      <c r="J13" s="2">
        <v>1.85</v>
      </c>
      <c r="K13" s="189">
        <v>1.45</v>
      </c>
      <c r="L13" s="181">
        <v>1.1499999999999999</v>
      </c>
      <c r="M13" s="190"/>
      <c r="N13" s="190"/>
    </row>
    <row r="14" spans="1:18" ht="15.75" thickBot="1">
      <c r="B14" s="9"/>
      <c r="C14" s="191"/>
      <c r="D14" s="10"/>
      <c r="E14" s="10"/>
      <c r="F14" s="11"/>
      <c r="H14" s="1">
        <v>7</v>
      </c>
      <c r="I14" s="180">
        <v>100</v>
      </c>
      <c r="J14" s="2">
        <v>2</v>
      </c>
      <c r="K14" s="189">
        <v>1.6</v>
      </c>
      <c r="L14" s="192">
        <v>1.25</v>
      </c>
      <c r="M14" s="187"/>
      <c r="N14" s="187"/>
      <c r="O14" s="187"/>
      <c r="P14" s="187"/>
      <c r="Q14" s="187"/>
      <c r="R14" s="187"/>
    </row>
    <row r="15" spans="1:18">
      <c r="H15" s="1">
        <v>8</v>
      </c>
      <c r="I15" s="180">
        <v>150</v>
      </c>
      <c r="J15" s="2">
        <v>2.25</v>
      </c>
      <c r="K15" s="192">
        <v>1.9</v>
      </c>
      <c r="L15" s="2">
        <v>1.55</v>
      </c>
      <c r="M15" s="12"/>
      <c r="N15" s="12"/>
      <c r="O15" s="12"/>
      <c r="P15" s="12"/>
      <c r="Q15" s="12"/>
      <c r="R15" s="12"/>
    </row>
    <row r="16" spans="1:18" ht="15.75" thickBot="1">
      <c r="H16" s="1">
        <v>9</v>
      </c>
      <c r="I16" s="193">
        <v>200</v>
      </c>
      <c r="J16" s="2">
        <v>2.4500000000000002</v>
      </c>
      <c r="K16" s="192">
        <v>2.1</v>
      </c>
      <c r="L16" s="2">
        <v>1.8</v>
      </c>
      <c r="M16" s="12"/>
      <c r="N16" s="12"/>
      <c r="O16" s="12"/>
      <c r="P16" s="12"/>
      <c r="Q16" s="12"/>
      <c r="R16" s="12"/>
    </row>
    <row r="17" spans="2:18">
      <c r="B17" s="3"/>
      <c r="C17" s="170"/>
      <c r="D17" s="4"/>
      <c r="E17" s="4"/>
      <c r="F17" s="5"/>
      <c r="H17" s="1">
        <v>10</v>
      </c>
      <c r="I17" s="180">
        <v>250</v>
      </c>
      <c r="J17" s="2">
        <v>2.65</v>
      </c>
      <c r="K17" s="192">
        <v>2.2999999999999998</v>
      </c>
      <c r="L17" s="2">
        <v>2</v>
      </c>
      <c r="M17" s="12"/>
      <c r="N17" s="12"/>
      <c r="O17" s="12"/>
      <c r="P17" s="12"/>
      <c r="Q17" s="12"/>
      <c r="R17" s="12"/>
    </row>
    <row r="18" spans="2:18" ht="15.75">
      <c r="B18" s="194" t="s">
        <v>197</v>
      </c>
      <c r="F18" s="6"/>
      <c r="H18" s="1">
        <v>11</v>
      </c>
      <c r="I18" s="180">
        <v>300</v>
      </c>
      <c r="J18" s="2">
        <v>2.75</v>
      </c>
      <c r="K18" s="192">
        <v>2.5</v>
      </c>
      <c r="L18" s="2">
        <v>2.2000000000000002</v>
      </c>
      <c r="M18" s="12"/>
      <c r="N18" s="12"/>
      <c r="O18" s="12"/>
      <c r="P18" s="12"/>
      <c r="Q18" s="12"/>
      <c r="R18" s="12"/>
    </row>
    <row r="19" spans="2:18" ht="16.5" thickBot="1">
      <c r="B19" s="194"/>
      <c r="F19" s="6"/>
      <c r="H19" s="13"/>
      <c r="I19" s="195"/>
      <c r="J19" s="196"/>
      <c r="K19" s="197"/>
      <c r="L19" s="196"/>
      <c r="M19" s="12"/>
      <c r="N19" s="12"/>
      <c r="O19" s="12"/>
      <c r="P19" s="12"/>
      <c r="Q19" s="12"/>
      <c r="R19" s="12"/>
    </row>
    <row r="20" spans="2:18" ht="15.75" thickBot="1">
      <c r="B20" s="171" t="s">
        <v>193</v>
      </c>
      <c r="E20" s="172">
        <v>5</v>
      </c>
      <c r="F20" s="6"/>
      <c r="H20" s="13"/>
      <c r="I20" s="195"/>
      <c r="J20" s="196"/>
      <c r="K20" s="197"/>
      <c r="L20" s="196"/>
      <c r="M20" s="12"/>
      <c r="N20" s="12"/>
      <c r="O20" s="12"/>
      <c r="P20" s="12"/>
      <c r="Q20" s="12"/>
      <c r="R20" s="12"/>
    </row>
    <row r="21" spans="2:18">
      <c r="B21" s="198"/>
      <c r="F21" s="6"/>
      <c r="G21" s="13"/>
      <c r="H21" s="13"/>
      <c r="I21" s="186"/>
      <c r="J21" s="196"/>
      <c r="K21" s="12"/>
      <c r="L21" s="12"/>
      <c r="M21" s="12"/>
      <c r="N21" s="12"/>
      <c r="O21" s="12"/>
      <c r="P21" s="12"/>
      <c r="Q21" s="12"/>
      <c r="R21" s="12"/>
    </row>
    <row r="22" spans="2:18">
      <c r="B22" s="178">
        <f>MATCH(C23,I8:I18,1)</f>
        <v>1</v>
      </c>
      <c r="C22" s="179">
        <f>INDEX(I8:I18,B22)</f>
        <v>5</v>
      </c>
      <c r="D22" s="179">
        <f>INDEX(K8:K18,B22)</f>
        <v>0.5</v>
      </c>
      <c r="F22" s="6"/>
      <c r="I22" s="187"/>
      <c r="J22" s="12"/>
      <c r="K22" s="12"/>
      <c r="L22" s="12"/>
      <c r="M22" s="12"/>
      <c r="N22" s="12"/>
      <c r="O22" s="12"/>
      <c r="P22" s="12"/>
      <c r="Q22" s="12"/>
      <c r="R22" s="12"/>
    </row>
    <row r="23" spans="2:18">
      <c r="B23" s="182"/>
      <c r="C23" s="183">
        <f>E20</f>
        <v>5</v>
      </c>
      <c r="D23" s="184">
        <f>D22+(C23-C22)*(D24-D22)/(C24-C22)</f>
        <v>0.5</v>
      </c>
      <c r="F23" s="6"/>
      <c r="I23" s="187"/>
      <c r="J23" s="12"/>
      <c r="K23" s="12"/>
      <c r="L23" s="12"/>
      <c r="M23" s="12"/>
      <c r="N23" s="12"/>
      <c r="O23" s="12"/>
      <c r="P23" s="12"/>
      <c r="Q23" s="12"/>
      <c r="R23" s="12"/>
    </row>
    <row r="24" spans="2:18">
      <c r="B24" s="178">
        <f>B22+1</f>
        <v>2</v>
      </c>
      <c r="C24" s="179">
        <f>INDEX(I8:I18,B24)</f>
        <v>10</v>
      </c>
      <c r="D24" s="179">
        <f>INDEX(K8:K18,B24)</f>
        <v>0.65</v>
      </c>
      <c r="F24" s="6"/>
      <c r="I24" s="187"/>
      <c r="J24" s="12"/>
      <c r="K24" s="12"/>
      <c r="L24" s="12"/>
      <c r="M24" s="12"/>
      <c r="N24" s="12"/>
      <c r="O24" s="12"/>
      <c r="P24" s="12"/>
      <c r="Q24" s="12"/>
      <c r="R24" s="12"/>
    </row>
    <row r="25" spans="2:18" ht="15.75" thickBot="1">
      <c r="B25" s="7"/>
      <c r="F25" s="6"/>
      <c r="I25" s="187"/>
      <c r="J25" s="12"/>
      <c r="K25" s="12"/>
      <c r="L25" s="12"/>
      <c r="M25" s="12"/>
      <c r="N25" s="12"/>
      <c r="O25" s="12"/>
      <c r="P25" s="12"/>
      <c r="Q25" s="12"/>
      <c r="R25" s="12"/>
    </row>
    <row r="26" spans="2:18" ht="15.75" thickBot="1">
      <c r="B26" s="185" t="s">
        <v>196</v>
      </c>
      <c r="C26" s="186"/>
      <c r="D26" s="187"/>
      <c r="E26" s="188">
        <f>D23</f>
        <v>0.5</v>
      </c>
      <c r="F26" s="6"/>
      <c r="I26" s="187"/>
      <c r="J26" s="12"/>
      <c r="K26" s="12"/>
      <c r="L26" s="12"/>
      <c r="M26" s="12"/>
      <c r="N26" s="12"/>
      <c r="O26" s="12"/>
      <c r="P26" s="12"/>
      <c r="Q26" s="12"/>
      <c r="R26" s="12"/>
    </row>
    <row r="27" spans="2:18" ht="15.75" thickBot="1">
      <c r="B27" s="199"/>
      <c r="C27" s="200"/>
      <c r="D27" s="201"/>
      <c r="E27" s="202"/>
      <c r="F27" s="11"/>
      <c r="I27" s="187"/>
      <c r="J27" s="12"/>
      <c r="K27" s="12"/>
      <c r="L27" s="12"/>
      <c r="M27" s="12"/>
      <c r="N27" s="12"/>
      <c r="O27" s="12"/>
      <c r="P27" s="12"/>
      <c r="Q27" s="12"/>
      <c r="R27" s="12"/>
    </row>
    <row r="28" spans="2:18" ht="15.75" thickBot="1">
      <c r="I28" s="187"/>
      <c r="J28" s="12"/>
      <c r="K28" s="12"/>
      <c r="L28" s="12"/>
      <c r="M28" s="12"/>
      <c r="N28" s="12"/>
      <c r="O28" s="12"/>
      <c r="P28" s="12"/>
      <c r="Q28" s="12"/>
      <c r="R28" s="12"/>
    </row>
    <row r="29" spans="2:18">
      <c r="B29" s="203"/>
      <c r="C29" s="170"/>
      <c r="D29" s="4"/>
      <c r="E29" s="4"/>
      <c r="F29" s="5"/>
      <c r="I29" s="187"/>
      <c r="J29" s="12"/>
      <c r="K29" s="12"/>
      <c r="L29" s="12"/>
      <c r="M29" s="12"/>
      <c r="N29" s="12"/>
      <c r="O29" s="12"/>
      <c r="P29" s="12"/>
      <c r="Q29" s="12"/>
      <c r="R29" s="12"/>
    </row>
    <row r="30" spans="2:18" ht="15.75">
      <c r="B30" s="194" t="s">
        <v>197</v>
      </c>
      <c r="F30" s="6"/>
    </row>
    <row r="31" spans="2:18" ht="16.5" thickBot="1">
      <c r="B31" s="194"/>
      <c r="F31" s="6"/>
    </row>
    <row r="32" spans="2:18" ht="15.75" thickBot="1">
      <c r="B32" s="171" t="s">
        <v>193</v>
      </c>
      <c r="E32" s="172">
        <v>5</v>
      </c>
      <c r="F32" s="6"/>
    </row>
    <row r="33" spans="2:6">
      <c r="B33" s="7"/>
      <c r="F33" s="6"/>
    </row>
    <row r="34" spans="2:6">
      <c r="B34" s="178">
        <f>MATCH(C35,I8:I18,1)</f>
        <v>1</v>
      </c>
      <c r="C34" s="179">
        <f>INDEX(I8:I18,B34)</f>
        <v>5</v>
      </c>
      <c r="D34" s="179">
        <f>INDEX(L8:L18,B34)</f>
        <v>0.4</v>
      </c>
      <c r="F34" s="6"/>
    </row>
    <row r="35" spans="2:6">
      <c r="B35" s="182"/>
      <c r="C35" s="183">
        <f>E32</f>
        <v>5</v>
      </c>
      <c r="D35" s="184">
        <f>D34+(C35-C34)*(D36-D34)/(C36-C34)</f>
        <v>0.4</v>
      </c>
      <c r="F35" s="6"/>
    </row>
    <row r="36" spans="2:6">
      <c r="B36" s="178">
        <f>B34+1</f>
        <v>2</v>
      </c>
      <c r="C36" s="179">
        <f>INDEX(I8:I18,B36)</f>
        <v>10</v>
      </c>
      <c r="D36" s="179">
        <f>INDEX(L8:L18,B36)</f>
        <v>0.4</v>
      </c>
      <c r="F36" s="6"/>
    </row>
    <row r="37" spans="2:6" ht="15.75" thickBot="1">
      <c r="B37" s="7"/>
      <c r="F37" s="6"/>
    </row>
    <row r="38" spans="2:6" ht="15.75" thickBot="1">
      <c r="B38" s="185" t="s">
        <v>196</v>
      </c>
      <c r="C38" s="186"/>
      <c r="D38" s="187"/>
      <c r="E38" s="188">
        <f>D35</f>
        <v>0.4</v>
      </c>
      <c r="F38" s="6"/>
    </row>
    <row r="39" spans="2:6" ht="15.75" thickBot="1">
      <c r="B39" s="9"/>
      <c r="C39" s="191"/>
      <c r="D39" s="10"/>
      <c r="E39" s="10"/>
      <c r="F39" s="11"/>
    </row>
  </sheetData>
  <mergeCells count="4">
    <mergeCell ref="A1:N1"/>
    <mergeCell ref="H6:H7"/>
    <mergeCell ref="I6:I7"/>
    <mergeCell ref="J6:L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2:L23"/>
  <sheetViews>
    <sheetView topLeftCell="A10" workbookViewId="0">
      <selection activeCell="AA19" sqref="AA19"/>
    </sheetView>
  </sheetViews>
  <sheetFormatPr defaultRowHeight="15"/>
  <sheetData>
    <row r="2" spans="4:4">
      <c r="D2" t="s">
        <v>36</v>
      </c>
    </row>
    <row r="3" spans="4:4">
      <c r="D3" t="s">
        <v>35</v>
      </c>
    </row>
    <row r="7" spans="4:4">
      <c r="D7" t="s">
        <v>37</v>
      </c>
    </row>
    <row r="8" spans="4:4">
      <c r="D8" t="s">
        <v>38</v>
      </c>
    </row>
    <row r="11" spans="4:4">
      <c r="D11" t="s">
        <v>34</v>
      </c>
    </row>
    <row r="17" spans="4:12">
      <c r="D17" s="120" t="s">
        <v>163</v>
      </c>
      <c r="E17" s="120"/>
      <c r="F17" s="121" t="s">
        <v>164</v>
      </c>
      <c r="G17" s="120"/>
      <c r="H17" s="120"/>
      <c r="I17" s="120"/>
      <c r="J17" s="120"/>
      <c r="K17" s="120"/>
      <c r="L17" s="120"/>
    </row>
    <row r="18" spans="4:12">
      <c r="D18" s="120"/>
      <c r="E18" s="120"/>
      <c r="F18" s="120"/>
      <c r="G18" s="120"/>
      <c r="H18" s="120"/>
      <c r="I18" s="120"/>
      <c r="J18" s="120"/>
      <c r="K18" s="120"/>
      <c r="L18" s="120"/>
    </row>
    <row r="19" spans="4:12">
      <c r="D19" s="120" t="s">
        <v>165</v>
      </c>
      <c r="E19" s="120"/>
      <c r="F19" s="121" t="s">
        <v>166</v>
      </c>
      <c r="G19" s="120"/>
      <c r="H19" s="120"/>
      <c r="I19" s="120"/>
      <c r="J19" s="120"/>
      <c r="K19" s="120"/>
      <c r="L19" s="120"/>
    </row>
    <row r="20" spans="4:12">
      <c r="D20" s="120"/>
      <c r="E20" s="120"/>
      <c r="F20" s="120"/>
      <c r="G20" s="120"/>
      <c r="H20" s="120"/>
      <c r="I20" s="120"/>
      <c r="J20" s="120"/>
      <c r="K20" s="120"/>
      <c r="L20" s="120"/>
    </row>
    <row r="21" spans="4:12">
      <c r="D21" s="120" t="s">
        <v>167</v>
      </c>
      <c r="E21" s="120"/>
      <c r="F21" s="120"/>
      <c r="G21" s="120"/>
      <c r="H21" s="120"/>
      <c r="I21" s="120"/>
      <c r="J21" s="120"/>
      <c r="K21" s="120"/>
      <c r="L21" s="120"/>
    </row>
    <row r="22" spans="4:12">
      <c r="D22" s="120"/>
      <c r="E22" s="120"/>
      <c r="F22" s="120"/>
      <c r="G22" s="120"/>
      <c r="H22" s="120"/>
      <c r="I22" s="120"/>
      <c r="J22" s="120"/>
      <c r="K22" s="120"/>
      <c r="L22" s="120"/>
    </row>
    <row r="23" spans="4:12">
      <c r="D23" s="120" t="s">
        <v>168</v>
      </c>
      <c r="E23" s="120"/>
      <c r="F23" s="122" t="s">
        <v>169</v>
      </c>
      <c r="G23" s="120"/>
      <c r="H23" s="120"/>
      <c r="I23" s="120"/>
      <c r="J23" s="122" t="s">
        <v>170</v>
      </c>
      <c r="K23" s="120"/>
      <c r="L23" s="120"/>
    </row>
  </sheetData>
  <hyperlinks>
    <hyperlink ref="F17" r:id="rId1" xr:uid="{00000000-0004-0000-0B00-000000000000}"/>
    <hyperlink ref="F19" r:id="rId2" xr:uid="{00000000-0004-0000-0B00-000001000000}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X129"/>
  <sheetViews>
    <sheetView tabSelected="1" topLeftCell="A103" zoomScale="115" zoomScaleNormal="115" workbookViewId="0">
      <selection activeCell="I110" sqref="I110"/>
    </sheetView>
  </sheetViews>
  <sheetFormatPr defaultRowHeight="15"/>
  <cols>
    <col min="1" max="1" width="22.85546875" customWidth="1"/>
    <col min="2" max="2" width="5.42578125" customWidth="1"/>
    <col min="3" max="3" width="15.7109375" customWidth="1"/>
    <col min="4" max="4" width="8.140625" customWidth="1"/>
    <col min="5" max="5" width="5.140625" customWidth="1"/>
    <col min="6" max="6" width="5.28515625" customWidth="1"/>
    <col min="7" max="7" width="15.7109375" customWidth="1"/>
    <col min="8" max="8" width="8.140625" customWidth="1"/>
    <col min="9" max="9" width="25.7109375" customWidth="1"/>
    <col min="10" max="10" width="5.42578125" customWidth="1"/>
    <col min="11" max="11" width="17.5703125" customWidth="1"/>
    <col min="12" max="12" width="8.28515625" customWidth="1"/>
    <col min="13" max="13" width="5.140625" customWidth="1"/>
    <col min="14" max="14" width="5.42578125" customWidth="1"/>
    <col min="15" max="15" width="18.140625" customWidth="1"/>
    <col min="16" max="16" width="7.85546875" customWidth="1"/>
    <col min="17" max="17" width="25.7109375" customWidth="1"/>
    <col min="18" max="18" width="5.42578125" customWidth="1"/>
    <col min="19" max="19" width="16" customWidth="1"/>
    <col min="20" max="20" width="8.28515625" customWidth="1"/>
    <col min="21" max="21" width="5.140625" customWidth="1"/>
    <col min="22" max="22" width="5.42578125" customWidth="1"/>
    <col min="23" max="23" width="16" customWidth="1"/>
    <col min="24" max="24" width="8.28515625" customWidth="1"/>
  </cols>
  <sheetData>
    <row r="2" spans="2:24" ht="41.25" customHeight="1">
      <c r="B2" s="707" t="s">
        <v>208</v>
      </c>
      <c r="C2" s="707"/>
      <c r="D2" s="707"/>
      <c r="E2" s="707"/>
      <c r="F2" s="707"/>
      <c r="G2" s="707"/>
      <c r="H2" s="707"/>
      <c r="J2" s="706" t="s">
        <v>239</v>
      </c>
      <c r="K2" s="707"/>
      <c r="L2" s="707"/>
      <c r="M2" s="707"/>
      <c r="N2" s="707"/>
      <c r="O2" s="707"/>
      <c r="P2" s="707"/>
      <c r="R2" s="706" t="s">
        <v>241</v>
      </c>
      <c r="S2" s="707"/>
      <c r="T2" s="707"/>
      <c r="U2" s="707"/>
      <c r="V2" s="707"/>
      <c r="W2" s="707"/>
      <c r="X2" s="707"/>
    </row>
    <row r="3" spans="2:24" ht="15.75" thickBot="1">
      <c r="B3" s="708" t="s">
        <v>236</v>
      </c>
      <c r="C3" s="709"/>
      <c r="D3" s="709"/>
      <c r="F3" s="708" t="s">
        <v>237</v>
      </c>
      <c r="G3" s="709"/>
      <c r="H3" s="709"/>
      <c r="J3" s="708" t="s">
        <v>236</v>
      </c>
      <c r="K3" s="709"/>
      <c r="L3" s="709"/>
      <c r="N3" s="708" t="s">
        <v>237</v>
      </c>
      <c r="O3" s="709"/>
      <c r="P3" s="709"/>
      <c r="R3" s="708" t="s">
        <v>236</v>
      </c>
      <c r="S3" s="709"/>
      <c r="T3" s="709"/>
      <c r="V3" s="708" t="s">
        <v>237</v>
      </c>
      <c r="W3" s="709"/>
      <c r="X3" s="709"/>
    </row>
    <row r="4" spans="2:24">
      <c r="B4" s="213"/>
      <c r="C4" s="214" t="s">
        <v>209</v>
      </c>
      <c r="D4" s="213" t="s">
        <v>78</v>
      </c>
      <c r="E4" s="212"/>
      <c r="F4" s="213"/>
      <c r="G4" s="214" t="s">
        <v>209</v>
      </c>
      <c r="H4" s="213" t="s">
        <v>78</v>
      </c>
      <c r="J4" s="213"/>
      <c r="K4" s="214" t="s">
        <v>209</v>
      </c>
      <c r="L4" s="213" t="s">
        <v>78</v>
      </c>
      <c r="N4" s="213"/>
      <c r="O4" s="214" t="s">
        <v>209</v>
      </c>
      <c r="P4" s="213" t="s">
        <v>78</v>
      </c>
      <c r="R4" s="213"/>
      <c r="S4" s="214" t="s">
        <v>209</v>
      </c>
      <c r="T4" s="213" t="s">
        <v>78</v>
      </c>
      <c r="V4" s="213"/>
      <c r="W4" s="214" t="s">
        <v>209</v>
      </c>
      <c r="X4" s="213" t="s">
        <v>78</v>
      </c>
    </row>
    <row r="5" spans="2:24">
      <c r="B5" s="222"/>
      <c r="C5" s="219" t="s">
        <v>210</v>
      </c>
      <c r="D5" s="222" t="s">
        <v>211</v>
      </c>
      <c r="E5" s="212"/>
      <c r="F5" s="222"/>
      <c r="G5" s="219" t="s">
        <v>210</v>
      </c>
      <c r="H5" s="222" t="s">
        <v>211</v>
      </c>
      <c r="J5" s="222"/>
      <c r="K5" s="219" t="s">
        <v>210</v>
      </c>
      <c r="L5" s="222" t="s">
        <v>211</v>
      </c>
      <c r="N5" s="222"/>
      <c r="O5" s="219" t="s">
        <v>210</v>
      </c>
      <c r="P5" s="222" t="s">
        <v>211</v>
      </c>
      <c r="R5" s="222"/>
      <c r="S5" s="219" t="s">
        <v>210</v>
      </c>
      <c r="T5" s="222" t="s">
        <v>211</v>
      </c>
      <c r="V5" s="222"/>
      <c r="W5" s="219" t="s">
        <v>210</v>
      </c>
      <c r="X5" s="222" t="s">
        <v>211</v>
      </c>
    </row>
    <row r="6" spans="2:24">
      <c r="B6" s="222" t="s">
        <v>90</v>
      </c>
      <c r="C6" s="219" t="s">
        <v>212</v>
      </c>
      <c r="D6" s="225">
        <v>200</v>
      </c>
      <c r="E6" s="212"/>
      <c r="F6" s="222" t="s">
        <v>90</v>
      </c>
      <c r="G6" s="219" t="s">
        <v>212</v>
      </c>
      <c r="H6" s="225">
        <v>200</v>
      </c>
      <c r="J6" s="222" t="s">
        <v>90</v>
      </c>
      <c r="K6" s="219" t="s">
        <v>212</v>
      </c>
      <c r="L6" s="225">
        <v>200</v>
      </c>
      <c r="N6" s="222" t="s">
        <v>90</v>
      </c>
      <c r="O6" s="219" t="s">
        <v>212</v>
      </c>
      <c r="P6" s="225">
        <v>200</v>
      </c>
      <c r="R6" s="222" t="s">
        <v>90</v>
      </c>
      <c r="S6" s="219" t="s">
        <v>212</v>
      </c>
      <c r="T6" s="225">
        <v>400</v>
      </c>
      <c r="V6" s="222" t="s">
        <v>90</v>
      </c>
      <c r="W6" s="219" t="s">
        <v>212</v>
      </c>
      <c r="X6" s="225">
        <v>400</v>
      </c>
    </row>
    <row r="7" spans="2:24">
      <c r="B7" s="223" t="s">
        <v>90</v>
      </c>
      <c r="C7" s="224" t="s">
        <v>213</v>
      </c>
      <c r="D7" s="223">
        <v>54</v>
      </c>
      <c r="E7" s="212"/>
      <c r="F7" s="223" t="s">
        <v>90</v>
      </c>
      <c r="G7" s="224" t="s">
        <v>213</v>
      </c>
      <c r="H7" s="223">
        <v>38</v>
      </c>
      <c r="J7" s="223" t="s">
        <v>90</v>
      </c>
      <c r="K7" s="224" t="s">
        <v>213</v>
      </c>
      <c r="L7" s="223">
        <v>45</v>
      </c>
      <c r="N7" s="223" t="s">
        <v>90</v>
      </c>
      <c r="O7" s="224" t="s">
        <v>213</v>
      </c>
      <c r="P7" s="223">
        <v>35</v>
      </c>
      <c r="R7" s="223" t="s">
        <v>90</v>
      </c>
      <c r="S7" s="224" t="s">
        <v>213</v>
      </c>
      <c r="T7" s="223">
        <v>70</v>
      </c>
      <c r="V7" s="223" t="s">
        <v>90</v>
      </c>
      <c r="W7" s="224" t="s">
        <v>213</v>
      </c>
      <c r="X7" s="223">
        <v>55</v>
      </c>
    </row>
    <row r="8" spans="2:24">
      <c r="B8" s="223" t="s">
        <v>90</v>
      </c>
      <c r="C8" s="224" t="s">
        <v>214</v>
      </c>
      <c r="D8" s="223">
        <v>58</v>
      </c>
      <c r="E8" s="212"/>
      <c r="F8" s="223" t="s">
        <v>90</v>
      </c>
      <c r="G8" s="224" t="s">
        <v>214</v>
      </c>
      <c r="H8" s="223">
        <v>74</v>
      </c>
      <c r="J8" s="223" t="s">
        <v>90</v>
      </c>
      <c r="K8" s="224" t="s">
        <v>214</v>
      </c>
      <c r="L8" s="223">
        <v>45</v>
      </c>
      <c r="N8" s="223" t="s">
        <v>90</v>
      </c>
      <c r="O8" s="224" t="s">
        <v>214</v>
      </c>
      <c r="P8" s="223">
        <v>55</v>
      </c>
      <c r="R8" s="223" t="s">
        <v>90</v>
      </c>
      <c r="S8" s="224" t="s">
        <v>214</v>
      </c>
      <c r="T8" s="223">
        <v>55</v>
      </c>
      <c r="V8" s="223" t="s">
        <v>90</v>
      </c>
      <c r="W8" s="224" t="s">
        <v>214</v>
      </c>
      <c r="X8" s="223">
        <v>70</v>
      </c>
    </row>
    <row r="9" spans="2:24" ht="15.75" customHeight="1" thickBot="1">
      <c r="B9" s="223" t="s">
        <v>215</v>
      </c>
      <c r="C9" s="224" t="s">
        <v>216</v>
      </c>
      <c r="D9" s="223">
        <v>150</v>
      </c>
      <c r="E9" s="212"/>
      <c r="F9" s="223" t="s">
        <v>215</v>
      </c>
      <c r="G9" s="224" t="s">
        <v>216</v>
      </c>
      <c r="H9" s="223">
        <v>150</v>
      </c>
      <c r="J9" s="223" t="s">
        <v>215</v>
      </c>
      <c r="K9" s="224" t="s">
        <v>216</v>
      </c>
      <c r="L9" s="223">
        <v>120</v>
      </c>
      <c r="N9" s="223" t="s">
        <v>215</v>
      </c>
      <c r="O9" s="224" t="s">
        <v>216</v>
      </c>
      <c r="P9" s="223">
        <v>120</v>
      </c>
      <c r="R9" s="223" t="s">
        <v>215</v>
      </c>
      <c r="S9" s="224" t="s">
        <v>216</v>
      </c>
      <c r="T9" s="223">
        <v>120</v>
      </c>
      <c r="V9" s="223" t="s">
        <v>215</v>
      </c>
      <c r="W9" s="224" t="s">
        <v>216</v>
      </c>
      <c r="X9" s="223">
        <v>120</v>
      </c>
    </row>
    <row r="10" spans="2:24" ht="15" customHeight="1">
      <c r="B10" s="703" t="s">
        <v>217</v>
      </c>
      <c r="C10" s="214" t="s">
        <v>218</v>
      </c>
      <c r="D10" s="215">
        <v>-7.07</v>
      </c>
      <c r="E10" s="212"/>
      <c r="F10" s="703" t="s">
        <v>217</v>
      </c>
      <c r="G10" s="214" t="s">
        <v>218</v>
      </c>
      <c r="H10" s="215">
        <v>-8.6</v>
      </c>
      <c r="J10" s="703" t="s">
        <v>217</v>
      </c>
      <c r="K10" s="214" t="s">
        <v>225</v>
      </c>
      <c r="L10" s="216">
        <v>-8.2799999999999994</v>
      </c>
      <c r="N10" s="703" t="s">
        <v>217</v>
      </c>
      <c r="O10" s="214" t="s">
        <v>225</v>
      </c>
      <c r="P10" s="216">
        <v>-9.19</v>
      </c>
      <c r="R10" s="703" t="s">
        <v>217</v>
      </c>
      <c r="S10" s="214" t="s">
        <v>230</v>
      </c>
      <c r="T10" s="216">
        <v>-41.37</v>
      </c>
      <c r="V10" s="703" t="s">
        <v>217</v>
      </c>
      <c r="W10" s="214" t="s">
        <v>230</v>
      </c>
      <c r="X10" s="216">
        <v>-43.85</v>
      </c>
    </row>
    <row r="11" spans="2:24">
      <c r="B11" s="704"/>
      <c r="C11" s="217" t="s">
        <v>219</v>
      </c>
      <c r="D11" s="216">
        <v>-4.97</v>
      </c>
      <c r="E11" s="212"/>
      <c r="F11" s="704"/>
      <c r="G11" s="217" t="s">
        <v>219</v>
      </c>
      <c r="H11" s="216">
        <v>-5.94</v>
      </c>
      <c r="J11" s="704"/>
      <c r="K11" s="219" t="s">
        <v>226</v>
      </c>
      <c r="L11" s="216">
        <v>-5.5</v>
      </c>
      <c r="N11" s="704"/>
      <c r="O11" s="219" t="s">
        <v>226</v>
      </c>
      <c r="P11" s="216">
        <v>-6.06</v>
      </c>
      <c r="R11" s="704"/>
      <c r="S11" s="219" t="s">
        <v>231</v>
      </c>
      <c r="T11" s="216">
        <v>-31.33</v>
      </c>
      <c r="V11" s="704"/>
      <c r="W11" s="219" t="s">
        <v>231</v>
      </c>
      <c r="X11" s="216">
        <v>-33.130000000000003</v>
      </c>
    </row>
    <row r="12" spans="2:24">
      <c r="B12" s="704"/>
      <c r="C12" s="219" t="s">
        <v>220</v>
      </c>
      <c r="D12" s="218">
        <v>-3.99</v>
      </c>
      <c r="E12" s="212"/>
      <c r="F12" s="704"/>
      <c r="G12" s="219" t="s">
        <v>220</v>
      </c>
      <c r="H12" s="218">
        <v>-4.74</v>
      </c>
      <c r="J12" s="704"/>
      <c r="K12" s="219" t="s">
        <v>227</v>
      </c>
      <c r="L12" s="216">
        <v>-2.74</v>
      </c>
      <c r="N12" s="704"/>
      <c r="O12" s="219" t="s">
        <v>227</v>
      </c>
      <c r="P12" s="216">
        <v>-2.99</v>
      </c>
      <c r="R12" s="704"/>
      <c r="S12" s="219" t="s">
        <v>232</v>
      </c>
      <c r="T12" s="216">
        <v>-27.17</v>
      </c>
      <c r="V12" s="704"/>
      <c r="W12" s="219" t="s">
        <v>232</v>
      </c>
      <c r="X12" s="216">
        <v>-28.71</v>
      </c>
    </row>
    <row r="13" spans="2:24">
      <c r="B13" s="704"/>
      <c r="C13" s="219" t="s">
        <v>221</v>
      </c>
      <c r="D13" s="218">
        <v>-3.32</v>
      </c>
      <c r="E13" s="212"/>
      <c r="F13" s="704"/>
      <c r="G13" s="219" t="s">
        <v>221</v>
      </c>
      <c r="H13" s="218">
        <v>-3.93</v>
      </c>
      <c r="J13" s="704"/>
      <c r="K13" s="219" t="s">
        <v>228</v>
      </c>
      <c r="L13" s="216">
        <v>-2.16</v>
      </c>
      <c r="N13" s="704"/>
      <c r="O13" s="219" t="s">
        <v>228</v>
      </c>
      <c r="P13" s="216">
        <v>-2.36</v>
      </c>
      <c r="R13" s="704"/>
      <c r="S13" s="219" t="s">
        <v>233</v>
      </c>
      <c r="T13" s="216">
        <v>-21.62</v>
      </c>
      <c r="V13" s="704"/>
      <c r="W13" s="219" t="s">
        <v>233</v>
      </c>
      <c r="X13" s="216">
        <v>-22.82</v>
      </c>
    </row>
    <row r="14" spans="2:24" ht="15.75" thickBot="1">
      <c r="B14" s="704"/>
      <c r="C14" s="219" t="s">
        <v>222</v>
      </c>
      <c r="D14" s="218">
        <v>-2.77</v>
      </c>
      <c r="E14" s="212"/>
      <c r="F14" s="704"/>
      <c r="G14" s="219" t="s">
        <v>222</v>
      </c>
      <c r="H14" s="218">
        <v>-3.27</v>
      </c>
      <c r="J14" s="705"/>
      <c r="K14" s="221" t="s">
        <v>229</v>
      </c>
      <c r="L14" s="216">
        <v>-1.1000000000000001</v>
      </c>
      <c r="N14" s="705"/>
      <c r="O14" s="221" t="s">
        <v>229</v>
      </c>
      <c r="P14" s="216">
        <v>-1.2</v>
      </c>
      <c r="R14" s="705"/>
      <c r="S14" s="221" t="s">
        <v>234</v>
      </c>
      <c r="T14" s="216">
        <v>-11.18</v>
      </c>
      <c r="V14" s="705"/>
      <c r="W14" s="221" t="s">
        <v>234</v>
      </c>
      <c r="X14" s="216">
        <v>-11.78</v>
      </c>
    </row>
    <row r="15" spans="2:24" ht="15" customHeight="1" thickBot="1">
      <c r="B15" s="705"/>
      <c r="C15" s="221" t="s">
        <v>223</v>
      </c>
      <c r="D15" s="220">
        <v>-1.44</v>
      </c>
      <c r="E15" s="212"/>
      <c r="F15" s="705"/>
      <c r="G15" s="221" t="s">
        <v>223</v>
      </c>
      <c r="H15" s="220">
        <v>-1.69</v>
      </c>
      <c r="J15" s="703" t="s">
        <v>224</v>
      </c>
      <c r="K15" s="217" t="s">
        <v>223</v>
      </c>
      <c r="L15" s="216">
        <v>1.54</v>
      </c>
      <c r="N15" s="703" t="s">
        <v>224</v>
      </c>
      <c r="O15" s="217" t="s">
        <v>223</v>
      </c>
      <c r="P15" s="216">
        <v>1.88</v>
      </c>
      <c r="R15" s="703" t="s">
        <v>224</v>
      </c>
      <c r="S15" s="217" t="s">
        <v>234</v>
      </c>
      <c r="T15" s="216">
        <v>11.44</v>
      </c>
      <c r="V15" s="703" t="s">
        <v>224</v>
      </c>
      <c r="W15" s="217" t="s">
        <v>234</v>
      </c>
      <c r="X15" s="216">
        <v>12.9</v>
      </c>
    </row>
    <row r="16" spans="2:24" ht="15.75" customHeight="1">
      <c r="B16" s="703" t="s">
        <v>224</v>
      </c>
      <c r="C16" s="217" t="s">
        <v>223</v>
      </c>
      <c r="D16" s="216">
        <v>1.61</v>
      </c>
      <c r="E16" s="212"/>
      <c r="F16" s="703" t="s">
        <v>224</v>
      </c>
      <c r="G16" s="217" t="s">
        <v>223</v>
      </c>
      <c r="H16" s="216">
        <v>1.82</v>
      </c>
      <c r="J16" s="704"/>
      <c r="K16" s="219" t="s">
        <v>222</v>
      </c>
      <c r="L16" s="216">
        <v>3.04</v>
      </c>
      <c r="N16" s="704"/>
      <c r="O16" s="219" t="s">
        <v>222</v>
      </c>
      <c r="P16" s="216">
        <v>3.68</v>
      </c>
      <c r="R16" s="704"/>
      <c r="S16" s="219" t="s">
        <v>233</v>
      </c>
      <c r="T16" s="216">
        <v>22.36</v>
      </c>
      <c r="V16" s="704"/>
      <c r="W16" s="219" t="s">
        <v>233</v>
      </c>
      <c r="X16" s="216">
        <v>25.07</v>
      </c>
    </row>
    <row r="17" spans="2:24" ht="15.75" customHeight="1">
      <c r="B17" s="704"/>
      <c r="C17" s="219" t="s">
        <v>222</v>
      </c>
      <c r="D17" s="218">
        <v>3.16</v>
      </c>
      <c r="E17" s="212"/>
      <c r="F17" s="704"/>
      <c r="G17" s="219" t="s">
        <v>222</v>
      </c>
      <c r="H17" s="218">
        <v>3.53</v>
      </c>
      <c r="J17" s="704"/>
      <c r="K17" s="219" t="s">
        <v>221</v>
      </c>
      <c r="L17" s="216">
        <v>3.69</v>
      </c>
      <c r="N17" s="704"/>
      <c r="O17" s="219" t="s">
        <v>221</v>
      </c>
      <c r="P17" s="216">
        <v>4.45</v>
      </c>
      <c r="R17" s="704"/>
      <c r="S17" s="219" t="s">
        <v>235</v>
      </c>
      <c r="T17" s="216">
        <v>28.27</v>
      </c>
      <c r="V17" s="704"/>
      <c r="W17" s="219" t="s">
        <v>235</v>
      </c>
      <c r="X17" s="216">
        <v>31.59</v>
      </c>
    </row>
    <row r="18" spans="2:24" ht="15.75" customHeight="1">
      <c r="B18" s="704"/>
      <c r="C18" s="219" t="s">
        <v>221</v>
      </c>
      <c r="D18" s="218">
        <v>3.83</v>
      </c>
      <c r="E18" s="212"/>
      <c r="F18" s="704"/>
      <c r="G18" s="219" t="s">
        <v>221</v>
      </c>
      <c r="H18" s="218">
        <v>4.25</v>
      </c>
      <c r="J18" s="704"/>
      <c r="K18" s="219" t="s">
        <v>220</v>
      </c>
      <c r="L18" s="216">
        <v>4.49</v>
      </c>
      <c r="N18" s="704"/>
      <c r="O18" s="219" t="s">
        <v>220</v>
      </c>
      <c r="P18" s="216">
        <v>5.41</v>
      </c>
      <c r="R18" s="704"/>
      <c r="S18" s="219" t="s">
        <v>231</v>
      </c>
      <c r="T18" s="216">
        <v>32.76</v>
      </c>
      <c r="V18" s="704"/>
      <c r="W18" s="219" t="s">
        <v>231</v>
      </c>
      <c r="X18" s="216">
        <v>36.5</v>
      </c>
    </row>
    <row r="19" spans="2:24" ht="15.75" customHeight="1" thickBot="1">
      <c r="B19" s="704"/>
      <c r="C19" s="219" t="s">
        <v>220</v>
      </c>
      <c r="D19" s="218">
        <v>4.6500000000000004</v>
      </c>
      <c r="E19" s="212"/>
      <c r="F19" s="704"/>
      <c r="G19" s="219" t="s">
        <v>220</v>
      </c>
      <c r="H19" s="218">
        <v>5.15</v>
      </c>
      <c r="J19" s="705"/>
      <c r="K19" s="221" t="s">
        <v>219</v>
      </c>
      <c r="L19" s="216">
        <v>5.73</v>
      </c>
      <c r="N19" s="705"/>
      <c r="O19" s="221" t="s">
        <v>219</v>
      </c>
      <c r="P19" s="216">
        <v>6.85</v>
      </c>
      <c r="R19" s="705"/>
      <c r="S19" s="221" t="s">
        <v>230</v>
      </c>
      <c r="T19" s="216">
        <v>43.83</v>
      </c>
      <c r="V19" s="705"/>
      <c r="W19" s="221" t="s">
        <v>230</v>
      </c>
      <c r="X19" s="216">
        <v>48.49</v>
      </c>
    </row>
    <row r="20" spans="2:24" ht="15.75" customHeight="1">
      <c r="B20" s="704"/>
      <c r="C20" s="219" t="s">
        <v>219</v>
      </c>
      <c r="D20" s="218">
        <v>5.91</v>
      </c>
      <c r="E20" s="212"/>
      <c r="F20" s="704"/>
      <c r="G20" s="219" t="s">
        <v>219</v>
      </c>
      <c r="H20" s="218">
        <v>6.49</v>
      </c>
    </row>
    <row r="21" spans="2:24" ht="15.75" customHeight="1" thickBot="1">
      <c r="B21" s="705"/>
      <c r="C21" s="221" t="s">
        <v>218</v>
      </c>
      <c r="D21" s="220">
        <v>8.91</v>
      </c>
      <c r="E21" s="212"/>
      <c r="F21" s="705"/>
      <c r="G21" s="221" t="s">
        <v>218</v>
      </c>
      <c r="H21" s="220">
        <v>9.5500000000000007</v>
      </c>
    </row>
    <row r="22" spans="2:24" ht="15.75" customHeight="1">
      <c r="B22" s="231"/>
      <c r="C22" s="232"/>
      <c r="D22" s="233"/>
      <c r="E22" s="212"/>
      <c r="F22" s="231"/>
      <c r="G22" s="232"/>
      <c r="H22" s="233"/>
      <c r="R22" s="232"/>
      <c r="S22" s="232"/>
      <c r="T22" s="232"/>
      <c r="V22" s="232"/>
      <c r="W22" s="232"/>
      <c r="X22" s="232"/>
    </row>
    <row r="23" spans="2:24" ht="44.25" customHeight="1">
      <c r="B23" s="706" t="s">
        <v>238</v>
      </c>
      <c r="C23" s="707"/>
      <c r="D23" s="707"/>
      <c r="E23" s="707"/>
      <c r="F23" s="707"/>
      <c r="G23" s="707"/>
      <c r="H23" s="707"/>
      <c r="J23" s="706" t="s">
        <v>240</v>
      </c>
      <c r="K23" s="707"/>
      <c r="L23" s="707"/>
      <c r="M23" s="707"/>
      <c r="N23" s="707"/>
      <c r="O23" s="707"/>
      <c r="P23" s="707"/>
      <c r="R23" s="706" t="s">
        <v>241</v>
      </c>
      <c r="S23" s="707"/>
      <c r="T23" s="707"/>
      <c r="U23" s="707"/>
      <c r="V23" s="707"/>
      <c r="W23" s="707"/>
      <c r="X23" s="707"/>
    </row>
    <row r="24" spans="2:24" ht="18" customHeight="1" thickBot="1">
      <c r="B24" s="708" t="s">
        <v>236</v>
      </c>
      <c r="C24" s="709"/>
      <c r="D24" s="709"/>
      <c r="E24" s="212"/>
      <c r="F24" s="708" t="s">
        <v>237</v>
      </c>
      <c r="G24" s="709"/>
      <c r="H24" s="709"/>
      <c r="J24" s="708" t="s">
        <v>236</v>
      </c>
      <c r="K24" s="709"/>
      <c r="L24" s="709"/>
      <c r="M24" s="212"/>
      <c r="N24" s="708" t="s">
        <v>237</v>
      </c>
      <c r="O24" s="709"/>
      <c r="P24" s="709"/>
      <c r="R24" s="708" t="s">
        <v>236</v>
      </c>
      <c r="S24" s="709"/>
      <c r="T24" s="709"/>
      <c r="V24" s="708" t="s">
        <v>237</v>
      </c>
      <c r="W24" s="709"/>
      <c r="X24" s="709"/>
    </row>
    <row r="25" spans="2:24">
      <c r="B25" s="213"/>
      <c r="C25" s="226" t="s">
        <v>209</v>
      </c>
      <c r="D25" s="213" t="s">
        <v>80</v>
      </c>
      <c r="E25" s="212"/>
      <c r="F25" s="213"/>
      <c r="G25" s="226" t="s">
        <v>209</v>
      </c>
      <c r="H25" s="213" t="s">
        <v>80</v>
      </c>
      <c r="J25" s="213"/>
      <c r="K25" s="226" t="s">
        <v>209</v>
      </c>
      <c r="L25" s="234" t="s">
        <v>78</v>
      </c>
      <c r="M25" s="212"/>
      <c r="N25" s="213"/>
      <c r="O25" s="226" t="s">
        <v>209</v>
      </c>
      <c r="P25" s="234" t="s">
        <v>78</v>
      </c>
      <c r="R25" s="213"/>
      <c r="S25" s="214" t="s">
        <v>209</v>
      </c>
      <c r="T25" s="213" t="s">
        <v>78</v>
      </c>
      <c r="V25" s="213"/>
      <c r="W25" s="214" t="s">
        <v>209</v>
      </c>
      <c r="X25" s="213" t="s">
        <v>78</v>
      </c>
    </row>
    <row r="26" spans="2:24">
      <c r="B26" s="222"/>
      <c r="C26" s="227" t="s">
        <v>210</v>
      </c>
      <c r="D26" s="222" t="s">
        <v>211</v>
      </c>
      <c r="E26" s="212"/>
      <c r="F26" s="222"/>
      <c r="G26" s="227" t="s">
        <v>210</v>
      </c>
      <c r="H26" s="222" t="s">
        <v>211</v>
      </c>
      <c r="J26" s="222"/>
      <c r="K26" s="227" t="s">
        <v>210</v>
      </c>
      <c r="L26" s="222" t="s">
        <v>211</v>
      </c>
      <c r="M26" s="212"/>
      <c r="N26" s="222"/>
      <c r="O26" s="227" t="s">
        <v>210</v>
      </c>
      <c r="P26" s="222" t="s">
        <v>211</v>
      </c>
      <c r="R26" s="222"/>
      <c r="S26" s="219" t="s">
        <v>210</v>
      </c>
      <c r="T26" s="222" t="s">
        <v>211</v>
      </c>
      <c r="V26" s="222"/>
      <c r="W26" s="219" t="s">
        <v>210</v>
      </c>
      <c r="X26" s="222" t="s">
        <v>211</v>
      </c>
    </row>
    <row r="27" spans="2:24">
      <c r="B27" s="222" t="s">
        <v>90</v>
      </c>
      <c r="C27" s="227" t="s">
        <v>212</v>
      </c>
      <c r="D27" s="225">
        <v>200</v>
      </c>
      <c r="E27" s="212"/>
      <c r="F27" s="222" t="s">
        <v>90</v>
      </c>
      <c r="G27" s="227" t="s">
        <v>212</v>
      </c>
      <c r="H27" s="225">
        <v>200</v>
      </c>
      <c r="J27" s="222" t="s">
        <v>90</v>
      </c>
      <c r="K27" s="227" t="s">
        <v>212</v>
      </c>
      <c r="L27" s="225">
        <v>200</v>
      </c>
      <c r="M27" s="212"/>
      <c r="N27" s="222" t="s">
        <v>90</v>
      </c>
      <c r="O27" s="227" t="s">
        <v>212</v>
      </c>
      <c r="P27" s="225">
        <v>200</v>
      </c>
      <c r="R27" s="222" t="s">
        <v>90</v>
      </c>
      <c r="S27" s="219" t="s">
        <v>212</v>
      </c>
      <c r="T27" s="225">
        <v>600</v>
      </c>
      <c r="V27" s="222" t="s">
        <v>90</v>
      </c>
      <c r="W27" s="219" t="s">
        <v>212</v>
      </c>
      <c r="X27" s="225">
        <v>600</v>
      </c>
    </row>
    <row r="28" spans="2:24">
      <c r="B28" s="223" t="s">
        <v>90</v>
      </c>
      <c r="C28" s="230" t="s">
        <v>213</v>
      </c>
      <c r="D28" s="223">
        <v>45</v>
      </c>
      <c r="E28" s="212"/>
      <c r="F28" s="223" t="s">
        <v>90</v>
      </c>
      <c r="G28" s="230" t="s">
        <v>213</v>
      </c>
      <c r="H28" s="223">
        <v>35</v>
      </c>
      <c r="J28" s="223" t="s">
        <v>90</v>
      </c>
      <c r="K28" s="230" t="s">
        <v>213</v>
      </c>
      <c r="L28" s="223">
        <v>45</v>
      </c>
      <c r="M28" s="212"/>
      <c r="N28" s="223" t="s">
        <v>90</v>
      </c>
      <c r="O28" s="230" t="s">
        <v>213</v>
      </c>
      <c r="P28" s="223">
        <v>35</v>
      </c>
      <c r="R28" s="223" t="s">
        <v>90</v>
      </c>
      <c r="S28" s="224" t="s">
        <v>213</v>
      </c>
      <c r="T28" s="223">
        <v>70</v>
      </c>
      <c r="V28" s="223" t="s">
        <v>90</v>
      </c>
      <c r="W28" s="224" t="s">
        <v>213</v>
      </c>
      <c r="X28" s="223">
        <v>55</v>
      </c>
    </row>
    <row r="29" spans="2:24">
      <c r="B29" s="223" t="s">
        <v>90</v>
      </c>
      <c r="C29" s="230" t="s">
        <v>214</v>
      </c>
      <c r="D29" s="223">
        <v>55</v>
      </c>
      <c r="E29" s="212"/>
      <c r="F29" s="223" t="s">
        <v>90</v>
      </c>
      <c r="G29" s="230" t="s">
        <v>214</v>
      </c>
      <c r="H29" s="223">
        <v>65</v>
      </c>
      <c r="J29" s="223" t="s">
        <v>90</v>
      </c>
      <c r="K29" s="230" t="s">
        <v>214</v>
      </c>
      <c r="L29" s="223">
        <v>55</v>
      </c>
      <c r="M29" s="212"/>
      <c r="N29" s="223" t="s">
        <v>90</v>
      </c>
      <c r="O29" s="230" t="s">
        <v>214</v>
      </c>
      <c r="P29" s="223">
        <v>65</v>
      </c>
      <c r="R29" s="223" t="s">
        <v>90</v>
      </c>
      <c r="S29" s="224" t="s">
        <v>214</v>
      </c>
      <c r="T29" s="223">
        <v>55</v>
      </c>
      <c r="V29" s="223" t="s">
        <v>90</v>
      </c>
      <c r="W29" s="224" t="s">
        <v>214</v>
      </c>
      <c r="X29" s="223">
        <v>70</v>
      </c>
    </row>
    <row r="30" spans="2:24" ht="15.75" thickBot="1">
      <c r="B30" s="223" t="s">
        <v>215</v>
      </c>
      <c r="C30" s="230" t="s">
        <v>216</v>
      </c>
      <c r="D30" s="223">
        <v>150</v>
      </c>
      <c r="E30" s="212"/>
      <c r="F30" s="223" t="s">
        <v>215</v>
      </c>
      <c r="G30" s="230" t="s">
        <v>216</v>
      </c>
      <c r="H30" s="223">
        <v>150</v>
      </c>
      <c r="J30" s="223" t="s">
        <v>215</v>
      </c>
      <c r="K30" s="230" t="s">
        <v>216</v>
      </c>
      <c r="L30" s="223">
        <v>150</v>
      </c>
      <c r="M30" s="212"/>
      <c r="N30" s="223" t="s">
        <v>215</v>
      </c>
      <c r="O30" s="230" t="s">
        <v>216</v>
      </c>
      <c r="P30" s="223">
        <v>150</v>
      </c>
      <c r="R30" s="223" t="s">
        <v>215</v>
      </c>
      <c r="S30" s="224" t="s">
        <v>216</v>
      </c>
      <c r="T30" s="223">
        <v>120</v>
      </c>
      <c r="V30" s="223" t="s">
        <v>215</v>
      </c>
      <c r="W30" s="224" t="s">
        <v>216</v>
      </c>
      <c r="X30" s="223">
        <v>120</v>
      </c>
    </row>
    <row r="31" spans="2:24" ht="15" customHeight="1">
      <c r="B31" s="703" t="s">
        <v>217</v>
      </c>
      <c r="C31" s="226" t="s">
        <v>218</v>
      </c>
      <c r="D31" s="216">
        <v>-8.44</v>
      </c>
      <c r="E31" s="212"/>
      <c r="F31" s="703" t="s">
        <v>217</v>
      </c>
      <c r="G31" s="226" t="s">
        <v>218</v>
      </c>
      <c r="H31" s="216">
        <v>-9.4</v>
      </c>
      <c r="J31" s="703" t="s">
        <v>217</v>
      </c>
      <c r="K31" s="226" t="s">
        <v>218</v>
      </c>
      <c r="L31" s="216">
        <v>-6.97</v>
      </c>
      <c r="M31" s="212"/>
      <c r="N31" s="703" t="s">
        <v>217</v>
      </c>
      <c r="O31" s="226" t="s">
        <v>218</v>
      </c>
      <c r="P31" s="216">
        <v>-8.89</v>
      </c>
      <c r="R31" s="703" t="s">
        <v>217</v>
      </c>
      <c r="S31" s="214" t="s">
        <v>230</v>
      </c>
      <c r="T31" s="216">
        <v>-74.540000000000006</v>
      </c>
      <c r="V31" s="703" t="s">
        <v>217</v>
      </c>
      <c r="W31" s="214" t="s">
        <v>230</v>
      </c>
      <c r="X31" s="216">
        <v>-77.03</v>
      </c>
    </row>
    <row r="32" spans="2:24">
      <c r="B32" s="704"/>
      <c r="C32" s="228" t="s">
        <v>219</v>
      </c>
      <c r="D32" s="216">
        <v>-5.72</v>
      </c>
      <c r="E32" s="212"/>
      <c r="F32" s="704"/>
      <c r="G32" s="228" t="s">
        <v>219</v>
      </c>
      <c r="H32" s="216">
        <v>-6.33</v>
      </c>
      <c r="J32" s="704"/>
      <c r="K32" s="228" t="s">
        <v>219</v>
      </c>
      <c r="L32" s="216">
        <v>-4.91</v>
      </c>
      <c r="M32" s="212"/>
      <c r="N32" s="704"/>
      <c r="O32" s="228" t="s">
        <v>219</v>
      </c>
      <c r="P32" s="216">
        <v>-6.13</v>
      </c>
      <c r="R32" s="704"/>
      <c r="S32" s="219" t="s">
        <v>231</v>
      </c>
      <c r="T32" s="216">
        <v>-55.45</v>
      </c>
      <c r="V32" s="704"/>
      <c r="W32" s="219" t="s">
        <v>231</v>
      </c>
      <c r="X32" s="216">
        <v>-57.26</v>
      </c>
    </row>
    <row r="33" spans="2:24">
      <c r="B33" s="704"/>
      <c r="C33" s="227" t="s">
        <v>220</v>
      </c>
      <c r="D33" s="216">
        <v>-4.53</v>
      </c>
      <c r="E33" s="212"/>
      <c r="F33" s="704"/>
      <c r="G33" s="227" t="s">
        <v>220</v>
      </c>
      <c r="H33" s="216">
        <v>-5.01</v>
      </c>
      <c r="J33" s="704"/>
      <c r="K33" s="227" t="s">
        <v>220</v>
      </c>
      <c r="L33" s="216">
        <v>-3.94</v>
      </c>
      <c r="M33" s="212"/>
      <c r="N33" s="704"/>
      <c r="O33" s="227" t="s">
        <v>220</v>
      </c>
      <c r="P33" s="216">
        <v>-4.88</v>
      </c>
      <c r="R33" s="704"/>
      <c r="S33" s="219" t="s">
        <v>232</v>
      </c>
      <c r="T33" s="216">
        <v>-47.78</v>
      </c>
      <c r="V33" s="704"/>
      <c r="W33" s="219" t="s">
        <v>232</v>
      </c>
      <c r="X33" s="216">
        <v>-49.32</v>
      </c>
    </row>
    <row r="34" spans="2:24">
      <c r="B34" s="704"/>
      <c r="C34" s="227" t="s">
        <v>221</v>
      </c>
      <c r="D34" s="216">
        <v>-3.75</v>
      </c>
      <c r="E34" s="212"/>
      <c r="F34" s="704"/>
      <c r="G34" s="227" t="s">
        <v>221</v>
      </c>
      <c r="H34" s="216">
        <v>-4.13</v>
      </c>
      <c r="J34" s="704"/>
      <c r="K34" s="227" t="s">
        <v>221</v>
      </c>
      <c r="L34" s="216">
        <v>-3.28</v>
      </c>
      <c r="M34" s="212"/>
      <c r="N34" s="704"/>
      <c r="O34" s="227" t="s">
        <v>221</v>
      </c>
      <c r="P34" s="216">
        <v>-4.05</v>
      </c>
      <c r="R34" s="704"/>
      <c r="S34" s="219" t="s">
        <v>233</v>
      </c>
      <c r="T34" s="216">
        <v>-37.700000000000003</v>
      </c>
      <c r="V34" s="704"/>
      <c r="W34" s="219" t="s">
        <v>233</v>
      </c>
      <c r="X34" s="216">
        <v>-38.909999999999997</v>
      </c>
    </row>
    <row r="35" spans="2:24" ht="15.75" customHeight="1" thickBot="1">
      <c r="B35" s="704"/>
      <c r="C35" s="227" t="s">
        <v>222</v>
      </c>
      <c r="D35" s="216">
        <v>-3.11</v>
      </c>
      <c r="E35" s="212"/>
      <c r="F35" s="704"/>
      <c r="G35" s="227" t="s">
        <v>222</v>
      </c>
      <c r="H35" s="216">
        <v>-3.42</v>
      </c>
      <c r="J35" s="704"/>
      <c r="K35" s="227" t="s">
        <v>222</v>
      </c>
      <c r="L35" s="216">
        <v>-2.74</v>
      </c>
      <c r="M35" s="212"/>
      <c r="N35" s="704"/>
      <c r="O35" s="227" t="s">
        <v>222</v>
      </c>
      <c r="P35" s="216">
        <v>-3.37</v>
      </c>
      <c r="R35" s="705"/>
      <c r="S35" s="221" t="s">
        <v>234</v>
      </c>
      <c r="T35" s="216">
        <v>-19.22</v>
      </c>
      <c r="V35" s="705"/>
      <c r="W35" s="221" t="s">
        <v>234</v>
      </c>
      <c r="X35" s="216">
        <v>-19.82</v>
      </c>
    </row>
    <row r="36" spans="2:24" ht="15.75" thickBot="1">
      <c r="B36" s="705"/>
      <c r="C36" s="229" t="s">
        <v>223</v>
      </c>
      <c r="D36" s="216">
        <v>-1.6</v>
      </c>
      <c r="E36" s="212"/>
      <c r="F36" s="705"/>
      <c r="G36" s="229" t="s">
        <v>223</v>
      </c>
      <c r="H36" s="216">
        <v>-1.75</v>
      </c>
      <c r="J36" s="705"/>
      <c r="K36" s="229" t="s">
        <v>223</v>
      </c>
      <c r="L36" s="216">
        <v>-1.43</v>
      </c>
      <c r="M36" s="212"/>
      <c r="N36" s="705"/>
      <c r="O36" s="229" t="s">
        <v>223</v>
      </c>
      <c r="P36" s="216">
        <v>-1.74</v>
      </c>
      <c r="R36" s="703" t="s">
        <v>224</v>
      </c>
      <c r="S36" s="217" t="s">
        <v>234</v>
      </c>
      <c r="T36" s="216">
        <v>18.23</v>
      </c>
      <c r="V36" s="703" t="s">
        <v>224</v>
      </c>
      <c r="W36" s="217" t="s">
        <v>234</v>
      </c>
      <c r="X36" s="216">
        <v>20.95</v>
      </c>
    </row>
    <row r="37" spans="2:24" ht="15" customHeight="1">
      <c r="B37" s="703" t="s">
        <v>224</v>
      </c>
      <c r="C37" s="228" t="s">
        <v>223</v>
      </c>
      <c r="D37" s="216">
        <v>1.53</v>
      </c>
      <c r="E37" s="212"/>
      <c r="F37" s="703" t="s">
        <v>224</v>
      </c>
      <c r="G37" s="228" t="s">
        <v>223</v>
      </c>
      <c r="H37" s="216">
        <v>1.78</v>
      </c>
      <c r="J37" s="703" t="s">
        <v>224</v>
      </c>
      <c r="K37" s="228" t="s">
        <v>223</v>
      </c>
      <c r="L37" s="216">
        <v>1.2</v>
      </c>
      <c r="M37" s="212"/>
      <c r="N37" s="703" t="s">
        <v>224</v>
      </c>
      <c r="O37" s="228" t="s">
        <v>223</v>
      </c>
      <c r="P37" s="216">
        <v>1.77</v>
      </c>
      <c r="R37" s="704"/>
      <c r="S37" s="219" t="s">
        <v>233</v>
      </c>
      <c r="T37" s="216">
        <v>35.93</v>
      </c>
      <c r="V37" s="704"/>
      <c r="W37" s="219" t="s">
        <v>233</v>
      </c>
      <c r="X37" s="216">
        <v>41.16</v>
      </c>
    </row>
    <row r="38" spans="2:24">
      <c r="B38" s="704"/>
      <c r="C38" s="227" t="s">
        <v>222</v>
      </c>
      <c r="D38" s="216">
        <v>3.03</v>
      </c>
      <c r="E38" s="212"/>
      <c r="F38" s="704"/>
      <c r="G38" s="227" t="s">
        <v>222</v>
      </c>
      <c r="H38" s="216">
        <v>3.5</v>
      </c>
      <c r="J38" s="704"/>
      <c r="K38" s="227" t="s">
        <v>222</v>
      </c>
      <c r="L38" s="216">
        <v>2.37</v>
      </c>
      <c r="M38" s="212"/>
      <c r="N38" s="704"/>
      <c r="O38" s="227" t="s">
        <v>222</v>
      </c>
      <c r="P38" s="216">
        <v>3.46</v>
      </c>
      <c r="R38" s="704"/>
      <c r="S38" s="239" t="s">
        <v>232</v>
      </c>
      <c r="T38" s="216">
        <v>45.66</v>
      </c>
      <c r="V38" s="704"/>
      <c r="W38" s="239" t="s">
        <v>232</v>
      </c>
      <c r="X38" s="216">
        <v>52.2</v>
      </c>
    </row>
    <row r="39" spans="2:24">
      <c r="B39" s="704"/>
      <c r="C39" s="227" t="s">
        <v>221</v>
      </c>
      <c r="D39" s="216">
        <v>3.67</v>
      </c>
      <c r="E39" s="212"/>
      <c r="F39" s="704"/>
      <c r="G39" s="227" t="s">
        <v>221</v>
      </c>
      <c r="H39" s="216">
        <v>4.24</v>
      </c>
      <c r="J39" s="704"/>
      <c r="K39" s="227" t="s">
        <v>221</v>
      </c>
      <c r="L39" s="216">
        <v>2.88</v>
      </c>
      <c r="M39" s="212"/>
      <c r="N39" s="704"/>
      <c r="O39" s="227" t="s">
        <v>221</v>
      </c>
      <c r="P39" s="216">
        <v>4.18</v>
      </c>
      <c r="R39" s="704"/>
      <c r="S39" s="219" t="s">
        <v>231</v>
      </c>
      <c r="T39" s="216">
        <v>53.11</v>
      </c>
      <c r="V39" s="704"/>
      <c r="W39" s="219" t="s">
        <v>231</v>
      </c>
      <c r="X39" s="216">
        <v>60.63</v>
      </c>
    </row>
    <row r="40" spans="2:24" ht="15.75" thickBot="1">
      <c r="B40" s="704"/>
      <c r="C40" s="227" t="s">
        <v>220</v>
      </c>
      <c r="D40" s="216">
        <v>4.4800000000000004</v>
      </c>
      <c r="E40" s="212"/>
      <c r="F40" s="704"/>
      <c r="G40" s="227" t="s">
        <v>220</v>
      </c>
      <c r="H40" s="216">
        <v>5.16</v>
      </c>
      <c r="J40" s="704"/>
      <c r="K40" s="227" t="s">
        <v>220</v>
      </c>
      <c r="L40" s="216">
        <v>3.52</v>
      </c>
      <c r="M40" s="212"/>
      <c r="N40" s="704"/>
      <c r="O40" s="227" t="s">
        <v>220</v>
      </c>
      <c r="P40" s="216">
        <v>5.07</v>
      </c>
      <c r="R40" s="705"/>
      <c r="S40" s="221" t="s">
        <v>230</v>
      </c>
      <c r="T40" s="216">
        <v>71.819999999999993</v>
      </c>
      <c r="V40" s="705"/>
      <c r="W40" s="221" t="s">
        <v>230</v>
      </c>
      <c r="X40" s="216">
        <v>81.66</v>
      </c>
    </row>
    <row r="41" spans="2:24" ht="15" customHeight="1">
      <c r="B41" s="704"/>
      <c r="C41" s="227" t="s">
        <v>219</v>
      </c>
      <c r="D41" s="216">
        <v>5.73</v>
      </c>
      <c r="E41" s="212"/>
      <c r="F41" s="704"/>
      <c r="G41" s="227" t="s">
        <v>219</v>
      </c>
      <c r="H41" s="216">
        <v>6.57</v>
      </c>
      <c r="J41" s="704"/>
      <c r="K41" s="227" t="s">
        <v>219</v>
      </c>
      <c r="L41" s="216">
        <v>4.5</v>
      </c>
      <c r="M41" s="212"/>
      <c r="N41" s="704"/>
      <c r="O41" s="227" t="s">
        <v>219</v>
      </c>
      <c r="P41" s="216">
        <v>6.42</v>
      </c>
    </row>
    <row r="42" spans="2:24" ht="15.75" thickBot="1">
      <c r="B42" s="705"/>
      <c r="C42" s="229" t="s">
        <v>218</v>
      </c>
      <c r="D42" s="216">
        <v>8.76</v>
      </c>
      <c r="E42" s="212"/>
      <c r="F42" s="705"/>
      <c r="G42" s="229" t="s">
        <v>218</v>
      </c>
      <c r="H42" s="216">
        <v>9.93</v>
      </c>
      <c r="J42" s="705"/>
      <c r="K42" s="229" t="s">
        <v>218</v>
      </c>
      <c r="L42" s="216">
        <v>6.91</v>
      </c>
      <c r="M42" s="212"/>
      <c r="N42" s="705"/>
      <c r="O42" s="229" t="s">
        <v>218</v>
      </c>
      <c r="P42" s="216">
        <v>9.56</v>
      </c>
    </row>
    <row r="44" spans="2:24" ht="45.75" customHeight="1">
      <c r="J44" s="706" t="s">
        <v>248</v>
      </c>
      <c r="K44" s="707"/>
      <c r="L44" s="707"/>
      <c r="M44" s="707"/>
      <c r="N44" s="707"/>
      <c r="O44" s="707"/>
      <c r="P44" s="707"/>
      <c r="R44" s="706" t="s">
        <v>241</v>
      </c>
      <c r="S44" s="707"/>
      <c r="T44" s="707"/>
      <c r="U44" s="707"/>
      <c r="V44" s="707"/>
      <c r="W44" s="707"/>
      <c r="X44" s="707"/>
    </row>
    <row r="45" spans="2:24" ht="15.75" thickBot="1">
      <c r="J45" s="708" t="s">
        <v>236</v>
      </c>
      <c r="K45" s="709"/>
      <c r="L45" s="709"/>
      <c r="M45" s="212"/>
      <c r="N45" s="708" t="s">
        <v>237</v>
      </c>
      <c r="O45" s="709"/>
      <c r="P45" s="709"/>
      <c r="R45" s="708" t="s">
        <v>236</v>
      </c>
      <c r="S45" s="709"/>
      <c r="T45" s="709"/>
      <c r="V45" s="708" t="s">
        <v>237</v>
      </c>
      <c r="W45" s="709"/>
      <c r="X45" s="709"/>
    </row>
    <row r="46" spans="2:24">
      <c r="J46" s="213"/>
      <c r="K46" s="226" t="s">
        <v>209</v>
      </c>
      <c r="L46" s="234" t="s">
        <v>78</v>
      </c>
      <c r="M46" s="212"/>
      <c r="N46" s="213"/>
      <c r="O46" s="226" t="s">
        <v>209</v>
      </c>
      <c r="P46" s="234" t="s">
        <v>78</v>
      </c>
      <c r="R46" s="213"/>
      <c r="S46" s="214" t="s">
        <v>209</v>
      </c>
      <c r="T46" s="213" t="s">
        <v>78</v>
      </c>
      <c r="V46" s="213"/>
      <c r="W46" s="214" t="s">
        <v>209</v>
      </c>
      <c r="X46" s="213" t="s">
        <v>78</v>
      </c>
    </row>
    <row r="47" spans="2:24" ht="15" customHeight="1">
      <c r="J47" s="222"/>
      <c r="K47" s="227" t="s">
        <v>210</v>
      </c>
      <c r="L47" s="222" t="s">
        <v>211</v>
      </c>
      <c r="M47" s="212"/>
      <c r="N47" s="222"/>
      <c r="O47" s="227" t="s">
        <v>210</v>
      </c>
      <c r="P47" s="222" t="s">
        <v>211</v>
      </c>
      <c r="R47" s="222"/>
      <c r="S47" s="219" t="s">
        <v>210</v>
      </c>
      <c r="T47" s="222" t="s">
        <v>211</v>
      </c>
      <c r="V47" s="222"/>
      <c r="W47" s="219" t="s">
        <v>210</v>
      </c>
      <c r="X47" s="222" t="s">
        <v>211</v>
      </c>
    </row>
    <row r="48" spans="2:24" ht="14.25" customHeight="1">
      <c r="J48" s="222" t="s">
        <v>90</v>
      </c>
      <c r="K48" s="227" t="s">
        <v>212</v>
      </c>
      <c r="L48" s="225">
        <v>200</v>
      </c>
      <c r="M48" s="212"/>
      <c r="N48" s="222" t="s">
        <v>90</v>
      </c>
      <c r="O48" s="227" t="s">
        <v>212</v>
      </c>
      <c r="P48" s="225">
        <v>200</v>
      </c>
      <c r="R48" s="222" t="s">
        <v>90</v>
      </c>
      <c r="S48" s="219" t="s">
        <v>212</v>
      </c>
      <c r="T48" s="225">
        <v>800</v>
      </c>
      <c r="V48" s="222" t="s">
        <v>90</v>
      </c>
      <c r="W48" s="219" t="s">
        <v>212</v>
      </c>
      <c r="X48" s="225">
        <v>800</v>
      </c>
    </row>
    <row r="49" spans="10:24">
      <c r="J49" s="223" t="s">
        <v>90</v>
      </c>
      <c r="K49" s="230" t="s">
        <v>213</v>
      </c>
      <c r="L49" s="223">
        <v>50</v>
      </c>
      <c r="M49" s="212"/>
      <c r="N49" s="223" t="s">
        <v>90</v>
      </c>
      <c r="O49" s="230" t="s">
        <v>213</v>
      </c>
      <c r="P49" s="223">
        <v>35</v>
      </c>
      <c r="R49" s="223" t="s">
        <v>90</v>
      </c>
      <c r="S49" s="224" t="s">
        <v>213</v>
      </c>
      <c r="T49" s="223">
        <v>70</v>
      </c>
      <c r="V49" s="223" t="s">
        <v>90</v>
      </c>
      <c r="W49" s="224" t="s">
        <v>213</v>
      </c>
      <c r="X49" s="223">
        <v>55</v>
      </c>
    </row>
    <row r="50" spans="10:24">
      <c r="J50" s="223" t="s">
        <v>90</v>
      </c>
      <c r="K50" s="230" t="s">
        <v>214</v>
      </c>
      <c r="L50" s="223">
        <v>45</v>
      </c>
      <c r="M50" s="212"/>
      <c r="N50" s="223" t="s">
        <v>90</v>
      </c>
      <c r="O50" s="230" t="s">
        <v>214</v>
      </c>
      <c r="P50" s="223">
        <v>60</v>
      </c>
      <c r="R50" s="223" t="s">
        <v>90</v>
      </c>
      <c r="S50" s="224" t="s">
        <v>214</v>
      </c>
      <c r="T50" s="223">
        <v>55</v>
      </c>
      <c r="V50" s="223" t="s">
        <v>90</v>
      </c>
      <c r="W50" s="224" t="s">
        <v>214</v>
      </c>
      <c r="X50" s="223">
        <v>70</v>
      </c>
    </row>
    <row r="51" spans="10:24" ht="15.75" thickBot="1">
      <c r="J51" s="223" t="s">
        <v>215</v>
      </c>
      <c r="K51" s="230" t="s">
        <v>216</v>
      </c>
      <c r="L51" s="223">
        <v>120</v>
      </c>
      <c r="M51" s="212"/>
      <c r="N51" s="223" t="s">
        <v>215</v>
      </c>
      <c r="O51" s="230" t="s">
        <v>216</v>
      </c>
      <c r="P51" s="223">
        <v>120</v>
      </c>
      <c r="R51" s="223" t="s">
        <v>215</v>
      </c>
      <c r="S51" s="224" t="s">
        <v>216</v>
      </c>
      <c r="T51" s="223">
        <v>120</v>
      </c>
      <c r="V51" s="223" t="s">
        <v>215</v>
      </c>
      <c r="W51" s="224" t="s">
        <v>216</v>
      </c>
      <c r="X51" s="223">
        <v>120</v>
      </c>
    </row>
    <row r="52" spans="10:24" ht="15" customHeight="1">
      <c r="J52" s="703" t="s">
        <v>217</v>
      </c>
      <c r="K52" s="238" t="s">
        <v>247</v>
      </c>
      <c r="L52" s="216">
        <v>-9.33</v>
      </c>
      <c r="M52" s="212"/>
      <c r="N52" s="703" t="s">
        <v>217</v>
      </c>
      <c r="O52" s="238" t="s">
        <v>247</v>
      </c>
      <c r="P52" s="216">
        <v>-12.13</v>
      </c>
      <c r="R52" s="703" t="s">
        <v>217</v>
      </c>
      <c r="S52" s="214" t="s">
        <v>230</v>
      </c>
      <c r="T52" s="216">
        <v>-107.72</v>
      </c>
      <c r="V52" s="703" t="s">
        <v>217</v>
      </c>
      <c r="W52" s="214" t="s">
        <v>230</v>
      </c>
      <c r="X52" s="216">
        <v>-110.21</v>
      </c>
    </row>
    <row r="53" spans="10:24">
      <c r="J53" s="704"/>
      <c r="K53" s="236" t="s">
        <v>246</v>
      </c>
      <c r="L53" s="216">
        <v>-8.6199999999999992</v>
      </c>
      <c r="M53" s="212"/>
      <c r="N53" s="704"/>
      <c r="O53" s="236" t="s">
        <v>246</v>
      </c>
      <c r="P53" s="216">
        <v>-10.17</v>
      </c>
      <c r="R53" s="704"/>
      <c r="S53" s="219" t="s">
        <v>231</v>
      </c>
      <c r="T53" s="216">
        <v>-79.58</v>
      </c>
      <c r="V53" s="704"/>
      <c r="W53" s="219" t="s">
        <v>231</v>
      </c>
      <c r="X53" s="216">
        <v>-81.39</v>
      </c>
    </row>
    <row r="54" spans="10:24">
      <c r="J54" s="704"/>
      <c r="K54" s="236" t="s">
        <v>245</v>
      </c>
      <c r="L54" s="216">
        <v>-6.22</v>
      </c>
      <c r="M54" s="212"/>
      <c r="N54" s="704"/>
      <c r="O54" s="236" t="s">
        <v>245</v>
      </c>
      <c r="P54" s="216">
        <v>-7.24</v>
      </c>
      <c r="R54" s="704"/>
      <c r="S54" s="219" t="s">
        <v>232</v>
      </c>
      <c r="T54" s="216">
        <v>-68.39</v>
      </c>
      <c r="V54" s="704"/>
      <c r="W54" s="219" t="s">
        <v>232</v>
      </c>
      <c r="X54" s="216">
        <v>-69.930000000000007</v>
      </c>
    </row>
    <row r="55" spans="10:24">
      <c r="J55" s="704"/>
      <c r="K55" s="236" t="s">
        <v>244</v>
      </c>
      <c r="L55" s="216">
        <v>-5.83</v>
      </c>
      <c r="M55" s="212"/>
      <c r="N55" s="704"/>
      <c r="O55" s="236" t="s">
        <v>244</v>
      </c>
      <c r="P55" s="216">
        <v>-6.77</v>
      </c>
      <c r="R55" s="704"/>
      <c r="S55" s="219" t="s">
        <v>233</v>
      </c>
      <c r="T55" s="216">
        <v>-53.79</v>
      </c>
      <c r="V55" s="704"/>
      <c r="W55" s="219" t="s">
        <v>233</v>
      </c>
      <c r="X55" s="216">
        <v>-54.99</v>
      </c>
    </row>
    <row r="56" spans="10:24" ht="15.75" thickBot="1">
      <c r="J56" s="704"/>
      <c r="K56" s="236" t="s">
        <v>243</v>
      </c>
      <c r="L56" s="216">
        <v>-4.38</v>
      </c>
      <c r="M56" s="212"/>
      <c r="N56" s="704"/>
      <c r="O56" s="236" t="s">
        <v>243</v>
      </c>
      <c r="P56" s="216">
        <v>-5.0599999999999996</v>
      </c>
      <c r="R56" s="705"/>
      <c r="S56" s="221" t="s">
        <v>234</v>
      </c>
      <c r="T56" s="216">
        <v>-27.26</v>
      </c>
      <c r="V56" s="705"/>
      <c r="W56" s="221" t="s">
        <v>234</v>
      </c>
      <c r="X56" s="216">
        <v>-27.86</v>
      </c>
    </row>
    <row r="57" spans="10:24" ht="15" customHeight="1" thickBot="1">
      <c r="J57" s="705"/>
      <c r="K57" s="237" t="s">
        <v>242</v>
      </c>
      <c r="L57" s="216">
        <v>-2.31</v>
      </c>
      <c r="M57" s="212"/>
      <c r="N57" s="705"/>
      <c r="O57" s="237" t="s">
        <v>242</v>
      </c>
      <c r="P57" s="216">
        <v>-2.65</v>
      </c>
      <c r="R57" s="703" t="s">
        <v>224</v>
      </c>
      <c r="S57" s="217" t="s">
        <v>234</v>
      </c>
      <c r="T57" s="216">
        <v>25.01</v>
      </c>
      <c r="V57" s="703" t="s">
        <v>224</v>
      </c>
      <c r="W57" s="217" t="s">
        <v>234</v>
      </c>
      <c r="X57" s="216">
        <v>28.99</v>
      </c>
    </row>
    <row r="58" spans="10:24" ht="15" customHeight="1">
      <c r="J58" s="703" t="s">
        <v>224</v>
      </c>
      <c r="K58" s="235" t="s">
        <v>242</v>
      </c>
      <c r="L58" s="240">
        <v>2.21</v>
      </c>
      <c r="M58" s="212"/>
      <c r="N58" s="703" t="s">
        <v>224</v>
      </c>
      <c r="O58" s="235" t="s">
        <v>242</v>
      </c>
      <c r="P58" s="240">
        <v>2.76</v>
      </c>
      <c r="R58" s="704"/>
      <c r="S58" s="219" t="s">
        <v>233</v>
      </c>
      <c r="T58" s="216">
        <v>49.5</v>
      </c>
      <c r="V58" s="704"/>
      <c r="W58" s="219" t="s">
        <v>233</v>
      </c>
      <c r="X58" s="216">
        <v>57.24</v>
      </c>
    </row>
    <row r="59" spans="10:24">
      <c r="J59" s="704"/>
      <c r="K59" s="236" t="s">
        <v>243</v>
      </c>
      <c r="L59" s="245">
        <v>4.32</v>
      </c>
      <c r="M59" s="212"/>
      <c r="N59" s="704"/>
      <c r="O59" s="236" t="s">
        <v>243</v>
      </c>
      <c r="P59" s="245">
        <v>5.33</v>
      </c>
      <c r="R59" s="704"/>
      <c r="S59" s="219" t="s">
        <v>235</v>
      </c>
      <c r="T59" s="216">
        <v>63.05</v>
      </c>
      <c r="V59" s="704"/>
      <c r="W59" s="219" t="s">
        <v>235</v>
      </c>
      <c r="X59" s="216">
        <v>72.81</v>
      </c>
    </row>
    <row r="60" spans="10:24">
      <c r="J60" s="704"/>
      <c r="K60" s="236" t="s">
        <v>244</v>
      </c>
      <c r="L60" s="242">
        <v>5.9</v>
      </c>
      <c r="M60" s="212"/>
      <c r="N60" s="704"/>
      <c r="O60" s="236" t="s">
        <v>244</v>
      </c>
      <c r="P60" s="242">
        <v>7.2</v>
      </c>
      <c r="R60" s="704"/>
      <c r="S60" s="219" t="s">
        <v>231</v>
      </c>
      <c r="T60" s="216">
        <v>73.47</v>
      </c>
      <c r="V60" s="704"/>
      <c r="W60" s="219" t="s">
        <v>231</v>
      </c>
      <c r="X60" s="216">
        <v>84.76</v>
      </c>
    </row>
    <row r="61" spans="10:24" ht="15.75" thickBot="1">
      <c r="J61" s="704"/>
      <c r="K61" s="236" t="s">
        <v>245</v>
      </c>
      <c r="L61" s="243">
        <v>6.34</v>
      </c>
      <c r="M61" s="212"/>
      <c r="N61" s="704"/>
      <c r="O61" s="236" t="s">
        <v>245</v>
      </c>
      <c r="P61" s="243">
        <v>7.72</v>
      </c>
      <c r="R61" s="705"/>
      <c r="S61" s="221" t="s">
        <v>230</v>
      </c>
      <c r="T61" s="216">
        <v>99.81</v>
      </c>
      <c r="V61" s="705"/>
      <c r="W61" s="221" t="s">
        <v>230</v>
      </c>
      <c r="X61" s="216">
        <v>114.84</v>
      </c>
    </row>
    <row r="62" spans="10:24">
      <c r="J62" s="704"/>
      <c r="K62" s="236" t="s">
        <v>246</v>
      </c>
      <c r="L62" s="244">
        <v>9.2799999999999994</v>
      </c>
      <c r="M62" s="212"/>
      <c r="N62" s="704"/>
      <c r="O62" s="236" t="s">
        <v>246</v>
      </c>
      <c r="P62" s="244">
        <v>11.05</v>
      </c>
    </row>
    <row r="63" spans="10:24" ht="15.75" thickBot="1">
      <c r="J63" s="705"/>
      <c r="K63" s="237" t="s">
        <v>247</v>
      </c>
      <c r="L63" s="241">
        <v>12.73</v>
      </c>
      <c r="M63" s="212"/>
      <c r="N63" s="705"/>
      <c r="O63" s="237" t="s">
        <v>247</v>
      </c>
      <c r="P63" s="241">
        <v>14.66</v>
      </c>
    </row>
    <row r="70" spans="2:16" ht="48.75" customHeight="1">
      <c r="B70" s="706" t="s">
        <v>900</v>
      </c>
      <c r="C70" s="707"/>
      <c r="D70" s="707"/>
      <c r="E70" s="707"/>
      <c r="F70" s="707"/>
      <c r="G70" s="707"/>
      <c r="H70" s="707"/>
      <c r="J70" s="706" t="s">
        <v>624</v>
      </c>
      <c r="K70" s="707"/>
      <c r="L70" s="707"/>
      <c r="M70" s="707"/>
      <c r="N70" s="707"/>
      <c r="O70" s="707"/>
      <c r="P70" s="707"/>
    </row>
    <row r="71" spans="2:16" ht="15.75" thickBot="1">
      <c r="B71" s="708" t="s">
        <v>236</v>
      </c>
      <c r="C71" s="709"/>
      <c r="D71" s="709"/>
      <c r="F71" s="710" t="s">
        <v>922</v>
      </c>
      <c r="G71" s="709"/>
      <c r="H71" s="709"/>
      <c r="J71" s="708" t="s">
        <v>236</v>
      </c>
      <c r="K71" s="709"/>
      <c r="L71" s="709"/>
      <c r="N71" s="708" t="s">
        <v>237</v>
      </c>
      <c r="O71" s="709"/>
      <c r="P71" s="709"/>
    </row>
    <row r="72" spans="2:16">
      <c r="B72" s="213"/>
      <c r="C72" s="214" t="s">
        <v>209</v>
      </c>
      <c r="D72" s="496" t="s">
        <v>77</v>
      </c>
      <c r="F72" s="213"/>
      <c r="G72" s="214" t="s">
        <v>209</v>
      </c>
      <c r="H72" s="496" t="s">
        <v>77</v>
      </c>
      <c r="J72" s="213"/>
      <c r="K72" s="214" t="s">
        <v>209</v>
      </c>
      <c r="L72" s="496" t="s">
        <v>77</v>
      </c>
      <c r="N72" s="213"/>
      <c r="O72" s="214" t="s">
        <v>209</v>
      </c>
      <c r="P72" s="496" t="s">
        <v>77</v>
      </c>
    </row>
    <row r="73" spans="2:16">
      <c r="B73" s="222"/>
      <c r="C73" s="219" t="s">
        <v>210</v>
      </c>
      <c r="D73" s="222" t="s">
        <v>211</v>
      </c>
      <c r="F73" s="222"/>
      <c r="G73" s="219" t="s">
        <v>210</v>
      </c>
      <c r="H73" s="222" t="s">
        <v>211</v>
      </c>
      <c r="J73" s="222"/>
      <c r="K73" s="219" t="s">
        <v>210</v>
      </c>
      <c r="L73" s="222" t="s">
        <v>211</v>
      </c>
      <c r="N73" s="222"/>
      <c r="O73" s="219" t="s">
        <v>210</v>
      </c>
      <c r="P73" s="222" t="s">
        <v>211</v>
      </c>
    </row>
    <row r="74" spans="2:16">
      <c r="B74" s="222" t="s">
        <v>90</v>
      </c>
      <c r="C74" s="219" t="s">
        <v>212</v>
      </c>
      <c r="D74" s="225">
        <v>180</v>
      </c>
      <c r="F74" s="222" t="s">
        <v>90</v>
      </c>
      <c r="G74" s="219" t="s">
        <v>212</v>
      </c>
      <c r="H74" s="225">
        <v>180</v>
      </c>
      <c r="J74" s="222" t="s">
        <v>90</v>
      </c>
      <c r="K74" s="219" t="s">
        <v>212</v>
      </c>
      <c r="L74" s="225">
        <v>200</v>
      </c>
      <c r="N74" s="222" t="s">
        <v>90</v>
      </c>
      <c r="O74" s="219" t="s">
        <v>212</v>
      </c>
      <c r="P74" s="225">
        <v>200</v>
      </c>
    </row>
    <row r="75" spans="2:16">
      <c r="B75" s="223" t="s">
        <v>90</v>
      </c>
      <c r="C75" s="224" t="s">
        <v>213</v>
      </c>
      <c r="D75" s="223">
        <v>45</v>
      </c>
      <c r="F75" s="223" t="s">
        <v>90</v>
      </c>
      <c r="G75" s="224" t="s">
        <v>213</v>
      </c>
      <c r="H75" s="223">
        <v>35</v>
      </c>
      <c r="J75" s="223" t="s">
        <v>90</v>
      </c>
      <c r="K75" s="224" t="s">
        <v>213</v>
      </c>
      <c r="L75" s="223">
        <v>48</v>
      </c>
      <c r="N75" s="223" t="s">
        <v>90</v>
      </c>
      <c r="O75" s="224" t="s">
        <v>213</v>
      </c>
      <c r="P75" s="223">
        <v>36</v>
      </c>
    </row>
    <row r="76" spans="2:16">
      <c r="B76" s="223" t="s">
        <v>90</v>
      </c>
      <c r="C76" s="224" t="s">
        <v>214</v>
      </c>
      <c r="D76" s="223">
        <v>35</v>
      </c>
      <c r="F76" s="223" t="s">
        <v>90</v>
      </c>
      <c r="G76" s="224" t="s">
        <v>214</v>
      </c>
      <c r="H76" s="223">
        <v>45</v>
      </c>
      <c r="J76" s="223" t="s">
        <v>90</v>
      </c>
      <c r="K76" s="224" t="s">
        <v>214</v>
      </c>
      <c r="L76" s="223">
        <v>46</v>
      </c>
      <c r="N76" s="223" t="s">
        <v>90</v>
      </c>
      <c r="O76" s="224" t="s">
        <v>214</v>
      </c>
      <c r="P76" s="223">
        <v>58</v>
      </c>
    </row>
    <row r="77" spans="2:16" ht="15.75" thickBot="1">
      <c r="B77" s="223" t="s">
        <v>215</v>
      </c>
      <c r="C77" s="224" t="s">
        <v>216</v>
      </c>
      <c r="D77" s="630">
        <v>120</v>
      </c>
      <c r="F77" s="223" t="s">
        <v>215</v>
      </c>
      <c r="G77" s="224" t="s">
        <v>216</v>
      </c>
      <c r="H77" s="630">
        <v>120</v>
      </c>
      <c r="J77" s="223" t="s">
        <v>215</v>
      </c>
      <c r="K77" s="224" t="s">
        <v>216</v>
      </c>
      <c r="L77" s="223">
        <v>150</v>
      </c>
      <c r="N77" s="223" t="s">
        <v>215</v>
      </c>
      <c r="O77" s="224" t="s">
        <v>216</v>
      </c>
      <c r="P77" s="223">
        <v>150</v>
      </c>
    </row>
    <row r="78" spans="2:16" ht="15" customHeight="1">
      <c r="B78" s="703" t="s">
        <v>217</v>
      </c>
      <c r="C78" s="623" t="s">
        <v>921</v>
      </c>
      <c r="D78" s="216">
        <v>-2.4500000000000002</v>
      </c>
      <c r="F78" s="703" t="s">
        <v>217</v>
      </c>
      <c r="G78" s="623" t="s">
        <v>921</v>
      </c>
      <c r="H78" s="216">
        <v>-3.33</v>
      </c>
      <c r="J78" s="703" t="s">
        <v>217</v>
      </c>
      <c r="K78" s="501" t="s">
        <v>629</v>
      </c>
      <c r="L78" s="216">
        <v>-7.03</v>
      </c>
      <c r="N78" s="703" t="s">
        <v>217</v>
      </c>
      <c r="O78" s="501" t="s">
        <v>629</v>
      </c>
      <c r="P78" s="216">
        <v>-10.65</v>
      </c>
    </row>
    <row r="79" spans="2:16">
      <c r="B79" s="704"/>
      <c r="C79" s="622" t="s">
        <v>898</v>
      </c>
      <c r="D79" s="216">
        <v>-1.94</v>
      </c>
      <c r="F79" s="704"/>
      <c r="G79" s="622" t="s">
        <v>898</v>
      </c>
      <c r="H79" s="216">
        <v>-2.66</v>
      </c>
      <c r="J79" s="704"/>
      <c r="K79" s="500" t="s">
        <v>628</v>
      </c>
      <c r="L79" s="216">
        <v>-6.65</v>
      </c>
      <c r="N79" s="704"/>
      <c r="O79" s="500" t="s">
        <v>628</v>
      </c>
      <c r="P79" s="216">
        <v>-7.81</v>
      </c>
    </row>
    <row r="80" spans="2:16">
      <c r="B80" s="704"/>
      <c r="C80" s="622" t="s">
        <v>920</v>
      </c>
      <c r="D80" s="216">
        <v>-1.54</v>
      </c>
      <c r="F80" s="704"/>
      <c r="G80" s="622" t="s">
        <v>920</v>
      </c>
      <c r="H80" s="216">
        <v>-2.11</v>
      </c>
      <c r="J80" s="704"/>
      <c r="K80" s="500" t="s">
        <v>627</v>
      </c>
      <c r="L80" s="216">
        <v>-6.29</v>
      </c>
      <c r="N80" s="704"/>
      <c r="O80" s="500" t="s">
        <v>627</v>
      </c>
      <c r="P80" s="216">
        <v>-7.31</v>
      </c>
    </row>
    <row r="81" spans="2:16">
      <c r="B81" s="704"/>
      <c r="C81" s="500" t="s">
        <v>899</v>
      </c>
      <c r="D81" s="216">
        <v>-1.2087217852277523</v>
      </c>
      <c r="F81" s="704"/>
      <c r="G81" s="500" t="s">
        <v>899</v>
      </c>
      <c r="H81" s="216">
        <v>-1.66</v>
      </c>
      <c r="J81" s="704"/>
      <c r="K81" s="500" t="s">
        <v>626</v>
      </c>
      <c r="L81" s="216">
        <v>-4.87</v>
      </c>
      <c r="N81" s="704"/>
      <c r="O81" s="500" t="s">
        <v>626</v>
      </c>
      <c r="P81" s="216">
        <v>-5.44</v>
      </c>
    </row>
    <row r="82" spans="2:16" ht="15.75" thickBot="1">
      <c r="B82" s="705"/>
      <c r="C82" s="606" t="s">
        <v>229</v>
      </c>
      <c r="D82" s="216">
        <v>-0.60913963742225097</v>
      </c>
      <c r="F82" s="705"/>
      <c r="G82" s="606" t="s">
        <v>229</v>
      </c>
      <c r="H82" s="216">
        <v>-0.86</v>
      </c>
      <c r="J82" s="705"/>
      <c r="K82" s="499" t="s">
        <v>625</v>
      </c>
      <c r="L82" s="216">
        <v>-2.65</v>
      </c>
      <c r="N82" s="705"/>
      <c r="O82" s="499" t="s">
        <v>625</v>
      </c>
      <c r="P82" s="216">
        <v>-2.84</v>
      </c>
    </row>
    <row r="83" spans="2:16" ht="15" customHeight="1">
      <c r="B83" s="703" t="s">
        <v>224</v>
      </c>
      <c r="C83" s="625" t="s">
        <v>229</v>
      </c>
      <c r="D83" s="624">
        <v>0.91</v>
      </c>
      <c r="F83" s="703" t="s">
        <v>224</v>
      </c>
      <c r="G83" s="625" t="s">
        <v>229</v>
      </c>
      <c r="H83" s="624">
        <v>1.01</v>
      </c>
      <c r="J83" s="703" t="s">
        <v>224</v>
      </c>
      <c r="K83" s="497" t="s">
        <v>625</v>
      </c>
      <c r="L83" s="216">
        <v>2.19</v>
      </c>
      <c r="N83" s="703" t="s">
        <v>224</v>
      </c>
      <c r="O83" s="497" t="s">
        <v>625</v>
      </c>
      <c r="P83" s="216">
        <v>2.99</v>
      </c>
    </row>
    <row r="84" spans="2:16">
      <c r="B84" s="704"/>
      <c r="C84" s="626" t="s">
        <v>899</v>
      </c>
      <c r="D84" s="624">
        <v>1.76</v>
      </c>
      <c r="F84" s="704"/>
      <c r="G84" s="626" t="s">
        <v>899</v>
      </c>
      <c r="H84" s="624">
        <v>1.96</v>
      </c>
      <c r="J84" s="704"/>
      <c r="K84" s="498" t="s">
        <v>626</v>
      </c>
      <c r="L84" s="216">
        <v>4.2699999999999996</v>
      </c>
      <c r="N84" s="704"/>
      <c r="O84" s="498" t="s">
        <v>626</v>
      </c>
      <c r="P84" s="216">
        <v>5.55</v>
      </c>
    </row>
    <row r="85" spans="2:16">
      <c r="B85" s="704"/>
      <c r="C85" s="634" t="s">
        <v>920</v>
      </c>
      <c r="D85" s="624">
        <v>2.2200000000000002</v>
      </c>
      <c r="F85" s="704"/>
      <c r="G85" s="634" t="s">
        <v>920</v>
      </c>
      <c r="H85" s="624">
        <v>2.48</v>
      </c>
      <c r="J85" s="704"/>
      <c r="K85" s="498" t="s">
        <v>627</v>
      </c>
      <c r="L85" s="216">
        <v>5.81</v>
      </c>
      <c r="N85" s="704"/>
      <c r="O85" s="498" t="s">
        <v>627</v>
      </c>
      <c r="P85" s="216">
        <v>7.24</v>
      </c>
    </row>
    <row r="86" spans="2:16">
      <c r="B86" s="704"/>
      <c r="C86" s="627" t="s">
        <v>898</v>
      </c>
      <c r="D86" s="624">
        <v>2.75</v>
      </c>
      <c r="F86" s="704"/>
      <c r="G86" s="627" t="s">
        <v>898</v>
      </c>
      <c r="H86" s="624">
        <v>3.08</v>
      </c>
      <c r="J86" s="704"/>
      <c r="K86" s="498" t="s">
        <v>628</v>
      </c>
      <c r="L86" s="216">
        <v>6.23</v>
      </c>
      <c r="N86" s="704"/>
      <c r="O86" s="498" t="s">
        <v>628</v>
      </c>
      <c r="P86" s="216">
        <v>7.67</v>
      </c>
    </row>
    <row r="87" spans="2:16" ht="15.75" thickBot="1">
      <c r="B87" s="705"/>
      <c r="C87" s="628" t="s">
        <v>921</v>
      </c>
      <c r="D87" s="220">
        <v>3.4</v>
      </c>
      <c r="F87" s="705"/>
      <c r="G87" s="628" t="s">
        <v>921</v>
      </c>
      <c r="H87" s="220">
        <v>3.81</v>
      </c>
      <c r="J87" s="705"/>
      <c r="K87" s="498" t="s">
        <v>629</v>
      </c>
      <c r="L87" s="216">
        <v>8.7100000000000009</v>
      </c>
      <c r="N87" s="705"/>
      <c r="O87" s="498" t="s">
        <v>629</v>
      </c>
      <c r="P87" s="216">
        <v>8.7899999999999991</v>
      </c>
    </row>
    <row r="90" spans="2:16" ht="15.75" thickBot="1">
      <c r="B90" s="708" t="s">
        <v>236</v>
      </c>
      <c r="C90" s="709"/>
      <c r="D90" s="709"/>
      <c r="F90" s="710" t="s">
        <v>922</v>
      </c>
      <c r="G90" s="709"/>
      <c r="H90" s="709"/>
    </row>
    <row r="91" spans="2:16">
      <c r="B91" s="213"/>
      <c r="C91" s="214" t="s">
        <v>209</v>
      </c>
      <c r="D91" s="496" t="s">
        <v>77</v>
      </c>
      <c r="F91" s="213"/>
      <c r="G91" s="214" t="s">
        <v>209</v>
      </c>
      <c r="H91" s="496" t="s">
        <v>77</v>
      </c>
    </row>
    <row r="92" spans="2:16">
      <c r="B92" s="222"/>
      <c r="C92" s="219" t="s">
        <v>210</v>
      </c>
      <c r="D92" s="222" t="s">
        <v>211</v>
      </c>
      <c r="F92" s="222"/>
      <c r="G92" s="219" t="s">
        <v>210</v>
      </c>
      <c r="H92" s="222" t="s">
        <v>211</v>
      </c>
    </row>
    <row r="93" spans="2:16" ht="23.25" customHeight="1">
      <c r="B93" s="222" t="s">
        <v>90</v>
      </c>
      <c r="C93" s="219" t="s">
        <v>212</v>
      </c>
      <c r="D93" s="225">
        <v>180</v>
      </c>
      <c r="F93" s="222" t="s">
        <v>90</v>
      </c>
      <c r="G93" s="219" t="s">
        <v>212</v>
      </c>
      <c r="H93" s="225">
        <v>180</v>
      </c>
    </row>
    <row r="94" spans="2:16" ht="23.25" customHeight="1">
      <c r="B94" s="223" t="s">
        <v>90</v>
      </c>
      <c r="C94" s="224" t="s">
        <v>213</v>
      </c>
      <c r="D94" s="223">
        <v>45</v>
      </c>
      <c r="F94" s="223" t="s">
        <v>90</v>
      </c>
      <c r="G94" s="224" t="s">
        <v>213</v>
      </c>
      <c r="H94" s="223">
        <v>35</v>
      </c>
    </row>
    <row r="95" spans="2:16" ht="23.25" customHeight="1">
      <c r="B95" s="223" t="s">
        <v>90</v>
      </c>
      <c r="C95" s="224" t="s">
        <v>214</v>
      </c>
      <c r="D95" s="223">
        <v>35</v>
      </c>
      <c r="F95" s="223" t="s">
        <v>90</v>
      </c>
      <c r="G95" s="224" t="s">
        <v>214</v>
      </c>
      <c r="H95" s="223">
        <v>45</v>
      </c>
    </row>
    <row r="96" spans="2:16" ht="24" customHeight="1" thickBot="1">
      <c r="B96" s="223" t="s">
        <v>215</v>
      </c>
      <c r="C96" s="608" t="s">
        <v>216</v>
      </c>
      <c r="D96" s="630">
        <v>120</v>
      </c>
      <c r="F96" s="223" t="s">
        <v>215</v>
      </c>
      <c r="G96" s="608" t="s">
        <v>216</v>
      </c>
      <c r="H96" s="630">
        <v>120</v>
      </c>
    </row>
    <row r="97" spans="2:8">
      <c r="B97" s="703" t="s">
        <v>217</v>
      </c>
      <c r="C97" s="632" t="s">
        <v>924</v>
      </c>
      <c r="D97" s="216">
        <v>-3.69</v>
      </c>
      <c r="F97" s="703" t="s">
        <v>217</v>
      </c>
      <c r="G97" s="632" t="s">
        <v>924</v>
      </c>
      <c r="H97" s="216">
        <v>-4.88</v>
      </c>
    </row>
    <row r="98" spans="2:8" ht="15" customHeight="1">
      <c r="B98" s="704"/>
      <c r="C98" s="631" t="s">
        <v>896</v>
      </c>
      <c r="D98" s="216">
        <v>-2.89</v>
      </c>
      <c r="F98" s="704"/>
      <c r="G98" s="631" t="s">
        <v>896</v>
      </c>
      <c r="H98" s="216">
        <v>-3.85</v>
      </c>
    </row>
    <row r="99" spans="2:8">
      <c r="B99" s="704"/>
      <c r="C99" s="631" t="s">
        <v>923</v>
      </c>
      <c r="D99" s="216">
        <v>-2.36</v>
      </c>
      <c r="F99" s="704"/>
      <c r="G99" s="631" t="s">
        <v>923</v>
      </c>
      <c r="H99" s="216">
        <v>-3.17</v>
      </c>
    </row>
    <row r="100" spans="2:8">
      <c r="B100" s="704"/>
      <c r="C100" s="498" t="s">
        <v>897</v>
      </c>
      <c r="D100" s="216">
        <v>-1.95</v>
      </c>
      <c r="F100" s="704"/>
      <c r="G100" s="498" t="s">
        <v>897</v>
      </c>
      <c r="H100" s="216">
        <v>-2.62</v>
      </c>
    </row>
    <row r="101" spans="2:8" ht="15.75" thickBot="1">
      <c r="B101" s="705"/>
      <c r="C101" s="606" t="s">
        <v>223</v>
      </c>
      <c r="D101" s="216">
        <v>-0.99</v>
      </c>
      <c r="F101" s="705"/>
      <c r="G101" s="606" t="s">
        <v>223</v>
      </c>
      <c r="H101" s="216">
        <v>-1.34</v>
      </c>
    </row>
    <row r="102" spans="2:8">
      <c r="B102" s="703" t="s">
        <v>224</v>
      </c>
      <c r="C102" s="607" t="s">
        <v>223</v>
      </c>
      <c r="D102" s="216">
        <v>1.3</v>
      </c>
      <c r="F102" s="703" t="s">
        <v>224</v>
      </c>
      <c r="G102" s="607" t="s">
        <v>223</v>
      </c>
      <c r="H102" s="216">
        <v>1.54</v>
      </c>
    </row>
    <row r="103" spans="2:8" ht="15" customHeight="1">
      <c r="B103" s="704"/>
      <c r="C103" s="498" t="s">
        <v>897</v>
      </c>
      <c r="D103" s="216">
        <v>2.4700000000000002</v>
      </c>
      <c r="F103" s="704"/>
      <c r="G103" s="498" t="s">
        <v>897</v>
      </c>
      <c r="H103" s="216">
        <v>2.94</v>
      </c>
    </row>
    <row r="104" spans="2:8">
      <c r="B104" s="704"/>
      <c r="C104" s="631" t="s">
        <v>923</v>
      </c>
      <c r="D104" s="216">
        <v>2.94</v>
      </c>
      <c r="F104" s="704"/>
      <c r="G104" s="631" t="s">
        <v>923</v>
      </c>
      <c r="H104" s="216">
        <v>3.52</v>
      </c>
    </row>
    <row r="105" spans="2:8">
      <c r="B105" s="704"/>
      <c r="C105" s="631" t="s">
        <v>896</v>
      </c>
      <c r="D105" s="216">
        <v>3.5</v>
      </c>
      <c r="F105" s="704"/>
      <c r="G105" s="631" t="s">
        <v>896</v>
      </c>
      <c r="H105" s="216">
        <v>4.21</v>
      </c>
    </row>
    <row r="106" spans="2:8" ht="15.75" thickBot="1">
      <c r="B106" s="705"/>
      <c r="C106" s="633" t="s">
        <v>924</v>
      </c>
      <c r="D106" s="629">
        <v>4.3</v>
      </c>
      <c r="F106" s="705"/>
      <c r="G106" s="633" t="s">
        <v>924</v>
      </c>
      <c r="H106" s="629">
        <v>5.22</v>
      </c>
    </row>
    <row r="110" spans="2:8" ht="51.75" customHeight="1">
      <c r="B110" s="741" t="s">
        <v>933</v>
      </c>
      <c r="C110" s="741"/>
      <c r="D110" s="741"/>
      <c r="E110" s="741"/>
      <c r="F110" s="741"/>
      <c r="G110" s="741"/>
      <c r="H110" s="741"/>
    </row>
    <row r="111" spans="2:8" ht="15.75" thickBot="1">
      <c r="B111" s="708" t="s">
        <v>236</v>
      </c>
      <c r="C111" s="709"/>
      <c r="D111" s="709"/>
      <c r="F111" s="708" t="s">
        <v>237</v>
      </c>
      <c r="G111" s="709"/>
      <c r="H111" s="709"/>
    </row>
    <row r="112" spans="2:8">
      <c r="B112" s="213"/>
      <c r="C112" s="214" t="s">
        <v>209</v>
      </c>
      <c r="D112" s="213" t="s">
        <v>78</v>
      </c>
      <c r="E112" s="212"/>
      <c r="F112" s="213"/>
      <c r="G112" s="214" t="s">
        <v>209</v>
      </c>
      <c r="H112" s="213" t="s">
        <v>78</v>
      </c>
    </row>
    <row r="113" spans="2:8">
      <c r="B113" s="222"/>
      <c r="C113" s="219" t="s">
        <v>210</v>
      </c>
      <c r="D113" s="222" t="s">
        <v>211</v>
      </c>
      <c r="E113" s="212"/>
      <c r="F113" s="222"/>
      <c r="G113" s="219" t="s">
        <v>210</v>
      </c>
      <c r="H113" s="222" t="s">
        <v>211</v>
      </c>
    </row>
    <row r="114" spans="2:8">
      <c r="B114" s="222" t="s">
        <v>90</v>
      </c>
      <c r="C114" s="219" t="s">
        <v>212</v>
      </c>
      <c r="D114" s="225">
        <v>180</v>
      </c>
      <c r="E114" s="212"/>
      <c r="F114" s="222" t="s">
        <v>90</v>
      </c>
      <c r="G114" s="219" t="s">
        <v>212</v>
      </c>
      <c r="H114" s="225">
        <v>180</v>
      </c>
    </row>
    <row r="115" spans="2:8">
      <c r="B115" s="223" t="s">
        <v>90</v>
      </c>
      <c r="C115" s="224" t="s">
        <v>213</v>
      </c>
      <c r="D115" s="223">
        <v>45</v>
      </c>
      <c r="E115" s="212"/>
      <c r="F115" s="223" t="s">
        <v>90</v>
      </c>
      <c r="G115" s="224" t="s">
        <v>213</v>
      </c>
      <c r="H115" s="223">
        <v>35</v>
      </c>
    </row>
    <row r="116" spans="2:8">
      <c r="B116" s="223" t="s">
        <v>90</v>
      </c>
      <c r="C116" s="224" t="s">
        <v>214</v>
      </c>
      <c r="D116" s="223">
        <v>40</v>
      </c>
      <c r="E116" s="212"/>
      <c r="F116" s="223" t="s">
        <v>90</v>
      </c>
      <c r="G116" s="224" t="s">
        <v>214</v>
      </c>
      <c r="H116" s="223">
        <v>50</v>
      </c>
    </row>
    <row r="117" spans="2:8" ht="15.75" thickBot="1">
      <c r="B117" s="223" t="s">
        <v>215</v>
      </c>
      <c r="C117" s="224" t="s">
        <v>216</v>
      </c>
      <c r="D117" s="223">
        <v>120</v>
      </c>
      <c r="E117" s="212"/>
      <c r="F117" s="223" t="s">
        <v>215</v>
      </c>
      <c r="G117" s="224" t="s">
        <v>216</v>
      </c>
      <c r="H117" s="223">
        <v>120</v>
      </c>
    </row>
    <row r="118" spans="2:8">
      <c r="B118" s="703" t="s">
        <v>217</v>
      </c>
      <c r="C118" s="214" t="s">
        <v>218</v>
      </c>
      <c r="D118" s="742">
        <v>-6.7518185769801784</v>
      </c>
      <c r="E118" s="212"/>
      <c r="F118" s="703" t="s">
        <v>217</v>
      </c>
      <c r="G118" s="214" t="s">
        <v>218</v>
      </c>
      <c r="H118" s="742">
        <v>-7.7131451169801784</v>
      </c>
    </row>
    <row r="119" spans="2:8">
      <c r="B119" s="704"/>
      <c r="C119" s="217" t="s">
        <v>219</v>
      </c>
      <c r="D119" s="743">
        <v>-4.7679429054576064</v>
      </c>
      <c r="E119" s="212"/>
      <c r="F119" s="704"/>
      <c r="G119" s="217" t="s">
        <v>219</v>
      </c>
      <c r="H119" s="743">
        <v>-5.3774113654576068</v>
      </c>
    </row>
    <row r="120" spans="2:8">
      <c r="B120" s="704"/>
      <c r="C120" s="219" t="s">
        <v>220</v>
      </c>
      <c r="D120" s="743">
        <v>-3.8345976088010909</v>
      </c>
      <c r="E120" s="212"/>
      <c r="F120" s="704"/>
      <c r="G120" s="219" t="s">
        <v>220</v>
      </c>
      <c r="H120" s="743">
        <v>-4.305836108801091</v>
      </c>
    </row>
    <row r="121" spans="2:8">
      <c r="B121" s="704"/>
      <c r="C121" s="219" t="s">
        <v>221</v>
      </c>
      <c r="D121" s="743">
        <v>-3.1954299453381978</v>
      </c>
      <c r="E121" s="212"/>
      <c r="F121" s="704"/>
      <c r="G121" s="219" t="s">
        <v>221</v>
      </c>
      <c r="H121" s="743">
        <v>-3.5787039253381976</v>
      </c>
    </row>
    <row r="122" spans="2:8">
      <c r="B122" s="704"/>
      <c r="C122" s="219" t="s">
        <v>222</v>
      </c>
      <c r="D122" s="743">
        <v>-2.6685528118685302</v>
      </c>
      <c r="E122" s="212"/>
      <c r="F122" s="704"/>
      <c r="G122" s="219" t="s">
        <v>222</v>
      </c>
      <c r="H122" s="743">
        <v>-2.9827118118685303</v>
      </c>
    </row>
    <row r="123" spans="2:8" ht="15.75" thickBot="1">
      <c r="B123" s="705"/>
      <c r="C123" s="221" t="s">
        <v>223</v>
      </c>
      <c r="D123" s="743">
        <v>-1.3903536089348334</v>
      </c>
      <c r="E123" s="212"/>
      <c r="F123" s="705"/>
      <c r="G123" s="221" t="s">
        <v>223</v>
      </c>
      <c r="H123" s="744">
        <v>-1.5474331089348332</v>
      </c>
    </row>
    <row r="124" spans="2:8">
      <c r="B124" s="703" t="s">
        <v>224</v>
      </c>
      <c r="C124" s="217" t="s">
        <v>223</v>
      </c>
      <c r="D124" s="743">
        <v>1.1755982473669992</v>
      </c>
      <c r="E124" s="212"/>
      <c r="F124" s="703" t="s">
        <v>224</v>
      </c>
      <c r="G124" s="217" t="s">
        <v>223</v>
      </c>
      <c r="H124" s="745">
        <v>1.4924908659967304</v>
      </c>
    </row>
    <row r="125" spans="2:8">
      <c r="B125" s="704"/>
      <c r="C125" s="219" t="s">
        <v>222</v>
      </c>
      <c r="D125" s="743">
        <v>2.3182408987717342</v>
      </c>
      <c r="E125" s="212"/>
      <c r="F125" s="704"/>
      <c r="G125" s="219" t="s">
        <v>222</v>
      </c>
      <c r="H125" s="743">
        <v>2.922536807107365</v>
      </c>
    </row>
    <row r="126" spans="2:8">
      <c r="B126" s="704"/>
      <c r="C126" s="219" t="s">
        <v>221</v>
      </c>
      <c r="D126" s="743">
        <v>2.810563332588973</v>
      </c>
      <c r="E126" s="212"/>
      <c r="F126" s="704"/>
      <c r="G126" s="219" t="s">
        <v>221</v>
      </c>
      <c r="H126" s="743">
        <v>3.53197446899213</v>
      </c>
    </row>
    <row r="127" spans="2:8">
      <c r="B127" s="704"/>
      <c r="C127" s="219" t="s">
        <v>220</v>
      </c>
      <c r="D127" s="743">
        <v>3.4279279542142045</v>
      </c>
      <c r="E127" s="212"/>
      <c r="F127" s="704"/>
      <c r="G127" s="219" t="s">
        <v>220</v>
      </c>
      <c r="H127" s="743">
        <v>4.2901378233319045</v>
      </c>
    </row>
    <row r="128" spans="2:8">
      <c r="B128" s="704"/>
      <c r="C128" s="219" t="s">
        <v>219</v>
      </c>
      <c r="D128" s="743">
        <v>4.377191694023594</v>
      </c>
      <c r="E128" s="212"/>
      <c r="F128" s="704"/>
      <c r="G128" s="219" t="s">
        <v>219</v>
      </c>
      <c r="H128" s="743">
        <v>5.441972275743721</v>
      </c>
    </row>
    <row r="129" spans="2:8" ht="15.75" thickBot="1">
      <c r="B129" s="705"/>
      <c r="C129" s="221" t="s">
        <v>218</v>
      </c>
      <c r="D129" s="744">
        <v>6.6783393608260484</v>
      </c>
      <c r="E129" s="212"/>
      <c r="F129" s="705"/>
      <c r="G129" s="221" t="s">
        <v>218</v>
      </c>
      <c r="H129" s="744">
        <v>8.1557069727245555</v>
      </c>
    </row>
  </sheetData>
  <mergeCells count="83">
    <mergeCell ref="B124:B129"/>
    <mergeCell ref="F124:F129"/>
    <mergeCell ref="B110:H110"/>
    <mergeCell ref="B111:D111"/>
    <mergeCell ref="F111:H111"/>
    <mergeCell ref="B118:B123"/>
    <mergeCell ref="F118:F123"/>
    <mergeCell ref="B70:H70"/>
    <mergeCell ref="B90:D90"/>
    <mergeCell ref="B97:B101"/>
    <mergeCell ref="B102:B106"/>
    <mergeCell ref="B71:D71"/>
    <mergeCell ref="B78:B82"/>
    <mergeCell ref="B83:B87"/>
    <mergeCell ref="F71:H71"/>
    <mergeCell ref="F78:F82"/>
    <mergeCell ref="F83:F87"/>
    <mergeCell ref="F90:H90"/>
    <mergeCell ref="F97:F101"/>
    <mergeCell ref="F102:F106"/>
    <mergeCell ref="J78:J82"/>
    <mergeCell ref="N78:N82"/>
    <mergeCell ref="J83:J87"/>
    <mergeCell ref="N83:N87"/>
    <mergeCell ref="J70:P70"/>
    <mergeCell ref="J71:L71"/>
    <mergeCell ref="N71:P71"/>
    <mergeCell ref="J58:J63"/>
    <mergeCell ref="N58:N63"/>
    <mergeCell ref="J44:P44"/>
    <mergeCell ref="J45:L45"/>
    <mergeCell ref="N45:P45"/>
    <mergeCell ref="J52:J57"/>
    <mergeCell ref="N52:N57"/>
    <mergeCell ref="R23:X23"/>
    <mergeCell ref="R44:X44"/>
    <mergeCell ref="R52:R56"/>
    <mergeCell ref="V52:V56"/>
    <mergeCell ref="R57:R61"/>
    <mergeCell ref="V57:V61"/>
    <mergeCell ref="R36:R40"/>
    <mergeCell ref="R45:T45"/>
    <mergeCell ref="R24:T24"/>
    <mergeCell ref="R31:R35"/>
    <mergeCell ref="V36:V40"/>
    <mergeCell ref="V45:X45"/>
    <mergeCell ref="V24:X24"/>
    <mergeCell ref="V31:V35"/>
    <mergeCell ref="J31:J36"/>
    <mergeCell ref="N31:N36"/>
    <mergeCell ref="J37:J42"/>
    <mergeCell ref="N37:N42"/>
    <mergeCell ref="B2:H2"/>
    <mergeCell ref="J23:P23"/>
    <mergeCell ref="J24:L24"/>
    <mergeCell ref="N24:P24"/>
    <mergeCell ref="J2:P2"/>
    <mergeCell ref="B3:D3"/>
    <mergeCell ref="F3:H3"/>
    <mergeCell ref="B23:H23"/>
    <mergeCell ref="F24:H24"/>
    <mergeCell ref="B24:D24"/>
    <mergeCell ref="B31:B36"/>
    <mergeCell ref="F31:F36"/>
    <mergeCell ref="R2:X2"/>
    <mergeCell ref="J10:J14"/>
    <mergeCell ref="J15:J19"/>
    <mergeCell ref="J3:L3"/>
    <mergeCell ref="N10:N14"/>
    <mergeCell ref="N15:N19"/>
    <mergeCell ref="N3:P3"/>
    <mergeCell ref="R15:R19"/>
    <mergeCell ref="R3:T3"/>
    <mergeCell ref="R10:R14"/>
    <mergeCell ref="V15:V19"/>
    <mergeCell ref="V3:X3"/>
    <mergeCell ref="V10:V14"/>
    <mergeCell ref="B37:B42"/>
    <mergeCell ref="F37:F42"/>
    <mergeCell ref="B10:B15"/>
    <mergeCell ref="F10:F15"/>
    <mergeCell ref="F16:F21"/>
    <mergeCell ref="B16:B21"/>
  </mergeCells>
  <conditionalFormatting sqref="D10:D22">
    <cfRule type="colorScale" priority="37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D31:D42">
    <cfRule type="colorScale" priority="26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D78:D87">
    <cfRule type="colorScale" priority="11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D97:D106">
    <cfRule type="colorScale" priority="12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H10:H22">
    <cfRule type="colorScale" priority="36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H31:H42">
    <cfRule type="colorScale" priority="25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H78:H87">
    <cfRule type="colorScale" priority="10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H97:H106">
    <cfRule type="colorScale" priority="9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L10:L19">
    <cfRule type="colorScale" priority="34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L31:L42">
    <cfRule type="colorScale" priority="22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L52:L57">
    <cfRule type="colorScale" priority="17">
      <colorScale>
        <cfvo type="min"/>
        <cfvo type="percentile" val="50"/>
        <cfvo type="max"/>
        <color rgb="FF5D9CD5"/>
        <color theme="4" tint="0.39997558519241921"/>
        <color theme="4" tint="0.79998168889431442"/>
      </colorScale>
    </cfRule>
  </conditionalFormatting>
  <conditionalFormatting sqref="L78:L87">
    <cfRule type="colorScale" priority="14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P10:P19">
    <cfRule type="colorScale" priority="33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P31:P42">
    <cfRule type="colorScale" priority="21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P52:P57">
    <cfRule type="colorScale" priority="15">
      <colorScale>
        <cfvo type="min"/>
        <cfvo type="percentile" val="50"/>
        <cfvo type="max"/>
        <color rgb="FF5D9CD5"/>
        <color theme="4" tint="0.39997558519241921"/>
        <color theme="4" tint="0.79998168889431442"/>
      </colorScale>
    </cfRule>
  </conditionalFormatting>
  <conditionalFormatting sqref="P78:P87">
    <cfRule type="colorScale" priority="13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T10:T19">
    <cfRule type="colorScale" priority="32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T31:T40">
    <cfRule type="colorScale" priority="30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T52:T61">
    <cfRule type="colorScale" priority="28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X10:X19">
    <cfRule type="colorScale" priority="31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X31:X40">
    <cfRule type="colorScale" priority="29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X52:X61">
    <cfRule type="colorScale" priority="27">
      <colorScale>
        <cfvo type="min"/>
        <cfvo type="percentile" val="50"/>
        <cfvo type="max"/>
        <color rgb="FF5D9CD5"/>
        <color theme="0"/>
        <color rgb="FFFF8181"/>
      </colorScale>
    </cfRule>
  </conditionalFormatting>
  <conditionalFormatting sqref="H118:H123">
    <cfRule type="colorScale" priority="6">
      <colorScale>
        <cfvo type="min"/>
        <cfvo type="max"/>
        <color rgb="FFF8696B"/>
        <color theme="0"/>
      </colorScale>
    </cfRule>
  </conditionalFormatting>
  <conditionalFormatting sqref="H124:H129">
    <cfRule type="colorScale" priority="4">
      <colorScale>
        <cfvo type="min"/>
        <cfvo type="max"/>
        <color theme="0"/>
        <color theme="4" tint="-0.499984740745262"/>
      </colorScale>
    </cfRule>
    <cfRule type="colorScale" priority="5">
      <colorScale>
        <cfvo type="min"/>
        <cfvo type="max"/>
        <color rgb="FFFCFCFF"/>
        <color rgb="FFF8696B"/>
      </colorScale>
    </cfRule>
  </conditionalFormatting>
  <conditionalFormatting sqref="D118:D123">
    <cfRule type="colorScale" priority="3">
      <colorScale>
        <cfvo type="min"/>
        <cfvo type="max"/>
        <color rgb="FFF8696B"/>
        <color theme="0"/>
      </colorScale>
    </cfRule>
  </conditionalFormatting>
  <conditionalFormatting sqref="D124:D129">
    <cfRule type="colorScale" priority="1">
      <colorScale>
        <cfvo type="min"/>
        <cfvo type="max"/>
        <color theme="0"/>
        <color theme="4" tint="-0.499984740745262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22"/>
  <sheetViews>
    <sheetView zoomScaleNormal="100" workbookViewId="0">
      <selection activeCell="R9" sqref="R9"/>
    </sheetView>
  </sheetViews>
  <sheetFormatPr defaultRowHeight="15"/>
  <cols>
    <col min="1" max="1" width="9.140625" style="578"/>
    <col min="2" max="2" width="20.140625" bestFit="1" customWidth="1"/>
    <col min="3" max="12" width="11.7109375" customWidth="1"/>
    <col min="13" max="13" width="9.140625" style="578"/>
  </cols>
  <sheetData>
    <row r="1" spans="2:12" ht="15.75" thickBot="1"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</row>
    <row r="2" spans="2:12" ht="15.75" thickBot="1"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604" t="s">
        <v>889</v>
      </c>
    </row>
    <row r="3" spans="2:12" ht="45">
      <c r="B3" s="602"/>
      <c r="C3" s="601" t="s">
        <v>883</v>
      </c>
      <c r="D3" s="600" t="s">
        <v>882</v>
      </c>
      <c r="E3" s="600" t="s">
        <v>881</v>
      </c>
      <c r="F3" s="600" t="s">
        <v>880</v>
      </c>
      <c r="G3" s="600" t="s">
        <v>879</v>
      </c>
      <c r="H3" s="600" t="s">
        <v>878</v>
      </c>
      <c r="I3" s="600" t="s">
        <v>877</v>
      </c>
      <c r="J3" s="600" t="s">
        <v>876</v>
      </c>
      <c r="K3" s="600" t="s">
        <v>875</v>
      </c>
      <c r="L3" s="599" t="s">
        <v>874</v>
      </c>
    </row>
    <row r="4" spans="2:12">
      <c r="B4" s="590" t="s">
        <v>855</v>
      </c>
      <c r="C4" s="589">
        <v>3.14</v>
      </c>
      <c r="D4" s="1">
        <v>3.14</v>
      </c>
      <c r="E4" s="1">
        <v>4.5199999999999996</v>
      </c>
      <c r="F4" s="1">
        <v>8.0399999999999991</v>
      </c>
      <c r="G4" s="1">
        <v>16.079999999999998</v>
      </c>
      <c r="H4" s="1">
        <v>25.13</v>
      </c>
      <c r="I4" s="1">
        <v>39.270000000000003</v>
      </c>
      <c r="J4" s="1">
        <v>49.26</v>
      </c>
      <c r="K4" s="1">
        <v>64.34</v>
      </c>
      <c r="L4" s="598">
        <v>81.430000000000007</v>
      </c>
    </row>
    <row r="5" spans="2:12">
      <c r="B5" s="590" t="s">
        <v>854</v>
      </c>
      <c r="C5" s="596">
        <f t="shared" ref="C5:L5" si="0">C4/(18*100)*100</f>
        <v>0.17444444444444446</v>
      </c>
      <c r="D5" s="593">
        <f t="shared" si="0"/>
        <v>0.17444444444444446</v>
      </c>
      <c r="E5" s="593">
        <f t="shared" si="0"/>
        <v>0.25111111111111106</v>
      </c>
      <c r="F5" s="593">
        <f t="shared" si="0"/>
        <v>0.44666666666666666</v>
      </c>
      <c r="G5" s="593">
        <f t="shared" si="0"/>
        <v>0.89333333333333331</v>
      </c>
      <c r="H5" s="593">
        <f t="shared" si="0"/>
        <v>1.3961111111111111</v>
      </c>
      <c r="I5" s="593">
        <f t="shared" si="0"/>
        <v>2.1816666666666666</v>
      </c>
      <c r="J5" s="593">
        <f t="shared" si="0"/>
        <v>2.7366666666666664</v>
      </c>
      <c r="K5" s="593">
        <f t="shared" si="0"/>
        <v>3.5744444444444445</v>
      </c>
      <c r="L5" s="597">
        <f t="shared" si="0"/>
        <v>4.5238888888888891</v>
      </c>
    </row>
    <row r="6" spans="2:12">
      <c r="B6" s="591"/>
      <c r="C6" s="714" t="s">
        <v>853</v>
      </c>
      <c r="D6" s="714"/>
      <c r="E6" s="714"/>
      <c r="F6" s="719" t="s">
        <v>852</v>
      </c>
      <c r="G6" s="716"/>
      <c r="H6" s="716"/>
      <c r="I6" s="716"/>
      <c r="J6" s="716"/>
      <c r="K6" s="716"/>
      <c r="L6" s="717"/>
    </row>
    <row r="7" spans="2:12">
      <c r="B7" s="590" t="s">
        <v>851</v>
      </c>
      <c r="C7" s="596" t="s">
        <v>873</v>
      </c>
      <c r="D7" s="595" t="s">
        <v>873</v>
      </c>
      <c r="E7" s="594" t="s">
        <v>872</v>
      </c>
      <c r="F7" s="594" t="s">
        <v>872</v>
      </c>
      <c r="G7" s="720"/>
      <c r="H7" s="721"/>
      <c r="I7" s="721"/>
      <c r="J7" s="721"/>
      <c r="K7" s="721"/>
      <c r="L7" s="722"/>
    </row>
    <row r="8" spans="2:12">
      <c r="B8" s="590" t="s">
        <v>848</v>
      </c>
      <c r="C8" s="596" t="s">
        <v>871</v>
      </c>
      <c r="D8" s="595" t="s">
        <v>871</v>
      </c>
      <c r="E8" s="594" t="s">
        <v>870</v>
      </c>
      <c r="F8" s="594" t="s">
        <v>870</v>
      </c>
      <c r="G8" s="720"/>
      <c r="H8" s="721"/>
      <c r="I8" s="721"/>
      <c r="J8" s="721"/>
      <c r="K8" s="721"/>
      <c r="L8" s="722"/>
    </row>
    <row r="9" spans="2:12">
      <c r="B9" s="590" t="s">
        <v>847</v>
      </c>
      <c r="C9" s="596" t="s">
        <v>871</v>
      </c>
      <c r="D9" s="595" t="s">
        <v>871</v>
      </c>
      <c r="E9" s="594" t="s">
        <v>870</v>
      </c>
      <c r="F9" s="594" t="s">
        <v>870</v>
      </c>
      <c r="G9" s="720"/>
      <c r="H9" s="721"/>
      <c r="I9" s="721"/>
      <c r="J9" s="721"/>
      <c r="K9" s="721"/>
      <c r="L9" s="722"/>
    </row>
    <row r="10" spans="2:12">
      <c r="B10" s="591"/>
      <c r="C10" s="714" t="s">
        <v>844</v>
      </c>
      <c r="D10" s="714"/>
      <c r="E10" s="714"/>
      <c r="F10" s="715" t="s">
        <v>843</v>
      </c>
      <c r="G10" s="716"/>
      <c r="H10" s="716"/>
      <c r="I10" s="716"/>
      <c r="J10" s="716"/>
      <c r="K10" s="716"/>
      <c r="L10" s="717"/>
    </row>
    <row r="11" spans="2:12">
      <c r="B11" s="590" t="s">
        <v>839</v>
      </c>
      <c r="C11" s="589" t="s">
        <v>830</v>
      </c>
      <c r="D11" s="588" t="s">
        <v>830</v>
      </c>
      <c r="E11" s="588" t="s">
        <v>830</v>
      </c>
      <c r="F11" s="588" t="s">
        <v>830</v>
      </c>
      <c r="G11" s="588" t="s">
        <v>830</v>
      </c>
      <c r="H11" s="588" t="s">
        <v>830</v>
      </c>
      <c r="I11" s="587" t="s">
        <v>830</v>
      </c>
      <c r="J11" s="587" t="s">
        <v>837</v>
      </c>
      <c r="K11" s="587" t="s">
        <v>837</v>
      </c>
      <c r="L11" s="586" t="s">
        <v>837</v>
      </c>
    </row>
    <row r="12" spans="2:12">
      <c r="B12" s="590" t="s">
        <v>836</v>
      </c>
      <c r="C12" s="589" t="s">
        <v>842</v>
      </c>
      <c r="D12" s="588">
        <v>200</v>
      </c>
      <c r="E12" s="588">
        <v>200</v>
      </c>
      <c r="F12" s="588">
        <v>300</v>
      </c>
      <c r="G12" s="588">
        <v>300</v>
      </c>
      <c r="H12" s="588">
        <v>400</v>
      </c>
      <c r="I12" s="587">
        <v>350</v>
      </c>
      <c r="J12" s="587">
        <v>400</v>
      </c>
      <c r="K12" s="587">
        <v>450</v>
      </c>
      <c r="L12" s="586">
        <v>500</v>
      </c>
    </row>
    <row r="13" spans="2:12">
      <c r="B13" s="590" t="s">
        <v>835</v>
      </c>
      <c r="C13" s="589" t="s">
        <v>842</v>
      </c>
      <c r="D13" s="588">
        <v>200</v>
      </c>
      <c r="E13" s="588">
        <v>200</v>
      </c>
      <c r="F13" s="588">
        <v>300</v>
      </c>
      <c r="G13" s="588">
        <v>300</v>
      </c>
      <c r="H13" s="588">
        <v>400</v>
      </c>
      <c r="I13" s="587">
        <v>250</v>
      </c>
      <c r="J13" s="587">
        <v>250</v>
      </c>
      <c r="K13" s="587">
        <v>250</v>
      </c>
      <c r="L13" s="586">
        <v>250</v>
      </c>
    </row>
    <row r="14" spans="2:12">
      <c r="B14" s="591"/>
      <c r="C14" s="714" t="s">
        <v>841</v>
      </c>
      <c r="D14" s="714"/>
      <c r="E14" s="714"/>
      <c r="F14" s="715" t="s">
        <v>840</v>
      </c>
      <c r="G14" s="716"/>
      <c r="H14" s="716"/>
      <c r="I14" s="716"/>
      <c r="J14" s="716"/>
      <c r="K14" s="716"/>
      <c r="L14" s="717"/>
    </row>
    <row r="15" spans="2:12">
      <c r="B15" s="590" t="s">
        <v>839</v>
      </c>
      <c r="C15" s="589" t="s">
        <v>830</v>
      </c>
      <c r="D15" s="711" t="s">
        <v>838</v>
      </c>
      <c r="E15" s="588" t="s">
        <v>830</v>
      </c>
      <c r="F15" s="588" t="s">
        <v>830</v>
      </c>
      <c r="G15" s="588" t="s">
        <v>830</v>
      </c>
      <c r="H15" s="588" t="s">
        <v>830</v>
      </c>
      <c r="I15" s="588" t="s">
        <v>830</v>
      </c>
      <c r="J15" s="587" t="s">
        <v>837</v>
      </c>
      <c r="K15" s="587" t="s">
        <v>837</v>
      </c>
      <c r="L15" s="586" t="s">
        <v>837</v>
      </c>
    </row>
    <row r="16" spans="2:12">
      <c r="B16" s="590" t="s">
        <v>836</v>
      </c>
      <c r="C16" s="589">
        <v>250</v>
      </c>
      <c r="D16" s="712"/>
      <c r="E16" s="588">
        <v>150</v>
      </c>
      <c r="F16" s="588">
        <v>200</v>
      </c>
      <c r="G16" s="588">
        <v>200</v>
      </c>
      <c r="H16" s="588">
        <v>300</v>
      </c>
      <c r="I16" s="588">
        <v>350</v>
      </c>
      <c r="J16" s="588">
        <v>400</v>
      </c>
      <c r="K16" s="587">
        <v>300</v>
      </c>
      <c r="L16" s="586">
        <v>300</v>
      </c>
    </row>
    <row r="17" spans="2:12">
      <c r="B17" s="590" t="s">
        <v>835</v>
      </c>
      <c r="C17" s="589">
        <v>250</v>
      </c>
      <c r="D17" s="713"/>
      <c r="E17" s="588">
        <v>100</v>
      </c>
      <c r="F17" s="588">
        <v>150</v>
      </c>
      <c r="G17" s="588">
        <v>150</v>
      </c>
      <c r="H17" s="588">
        <v>200</v>
      </c>
      <c r="I17" s="588">
        <v>250</v>
      </c>
      <c r="J17" s="588">
        <v>250</v>
      </c>
      <c r="K17" s="587">
        <v>300</v>
      </c>
      <c r="L17" s="586">
        <v>300</v>
      </c>
    </row>
    <row r="18" spans="2:12">
      <c r="B18" s="591"/>
      <c r="C18" s="714" t="s">
        <v>834</v>
      </c>
      <c r="D18" s="714"/>
      <c r="E18" s="714"/>
      <c r="F18" s="715" t="s">
        <v>869</v>
      </c>
      <c r="G18" s="716"/>
      <c r="H18" s="716"/>
      <c r="I18" s="716"/>
      <c r="J18" s="716"/>
      <c r="K18" s="716"/>
      <c r="L18" s="717"/>
    </row>
    <row r="19" spans="2:12">
      <c r="B19" s="590" t="s">
        <v>832</v>
      </c>
      <c r="C19" s="589" t="s">
        <v>831</v>
      </c>
      <c r="D19" s="588" t="s">
        <v>831</v>
      </c>
      <c r="E19" s="588" t="s">
        <v>831</v>
      </c>
      <c r="F19" s="588" t="s">
        <v>831</v>
      </c>
      <c r="G19" s="588" t="s">
        <v>831</v>
      </c>
      <c r="H19" s="588" t="s">
        <v>831</v>
      </c>
      <c r="I19" s="587" t="s">
        <v>830</v>
      </c>
      <c r="J19" s="587" t="s">
        <v>830</v>
      </c>
      <c r="K19" s="587" t="s">
        <v>830</v>
      </c>
      <c r="L19" s="586" t="s">
        <v>830</v>
      </c>
    </row>
    <row r="20" spans="2:12" ht="15.75" thickBot="1">
      <c r="B20" s="585" t="s">
        <v>829</v>
      </c>
      <c r="C20" s="584" t="s">
        <v>868</v>
      </c>
      <c r="D20" s="583" t="s">
        <v>867</v>
      </c>
      <c r="E20" s="583" t="s">
        <v>867</v>
      </c>
      <c r="F20" s="583" t="s">
        <v>867</v>
      </c>
      <c r="G20" s="583" t="s">
        <v>867</v>
      </c>
      <c r="H20" s="583" t="s">
        <v>867</v>
      </c>
      <c r="I20" s="582" t="s">
        <v>866</v>
      </c>
      <c r="J20" s="582" t="s">
        <v>866</v>
      </c>
      <c r="K20" s="582" t="s">
        <v>866</v>
      </c>
      <c r="L20" s="603" t="s">
        <v>866</v>
      </c>
    </row>
    <row r="21" spans="2:12" ht="15.75" thickBot="1">
      <c r="B21" s="646"/>
      <c r="C21" s="718"/>
      <c r="D21" s="718"/>
      <c r="E21" s="718"/>
      <c r="F21" s="718"/>
      <c r="G21" s="718"/>
      <c r="H21" s="718"/>
      <c r="I21" s="718"/>
      <c r="J21" s="718"/>
      <c r="K21" s="718"/>
      <c r="L21" s="647"/>
    </row>
    <row r="22" spans="2:12" ht="45">
      <c r="B22" s="602"/>
      <c r="C22" s="601" t="s">
        <v>865</v>
      </c>
      <c r="D22" s="600" t="s">
        <v>864</v>
      </c>
      <c r="E22" s="600" t="s">
        <v>863</v>
      </c>
      <c r="F22" s="600" t="s">
        <v>862</v>
      </c>
      <c r="G22" s="600" t="s">
        <v>861</v>
      </c>
      <c r="H22" s="600" t="s">
        <v>860</v>
      </c>
      <c r="I22" s="600" t="s">
        <v>859</v>
      </c>
      <c r="J22" s="600" t="s">
        <v>858</v>
      </c>
      <c r="K22" s="600" t="s">
        <v>857</v>
      </c>
      <c r="L22" s="599" t="s">
        <v>856</v>
      </c>
    </row>
    <row r="23" spans="2:12">
      <c r="B23" s="590" t="s">
        <v>855</v>
      </c>
      <c r="C23" s="589">
        <v>3.93</v>
      </c>
      <c r="D23" s="1">
        <v>3.93</v>
      </c>
      <c r="E23" s="1">
        <v>5.6550000000000002</v>
      </c>
      <c r="F23" s="1">
        <v>10.050000000000001</v>
      </c>
      <c r="G23" s="1">
        <v>20.11</v>
      </c>
      <c r="H23" s="1">
        <v>31.42</v>
      </c>
      <c r="I23" s="1">
        <v>49.09</v>
      </c>
      <c r="J23" s="1">
        <v>61.58</v>
      </c>
      <c r="K23" s="1">
        <v>80.42</v>
      </c>
      <c r="L23" s="598">
        <v>101.79</v>
      </c>
    </row>
    <row r="24" spans="2:12">
      <c r="B24" s="590" t="s">
        <v>854</v>
      </c>
      <c r="C24" s="596">
        <f t="shared" ref="C24:L24" si="1">C23/(18*100)*100</f>
        <v>0.21833333333333335</v>
      </c>
      <c r="D24" s="593">
        <f t="shared" si="1"/>
        <v>0.21833333333333335</v>
      </c>
      <c r="E24" s="593">
        <f t="shared" si="1"/>
        <v>0.31416666666666665</v>
      </c>
      <c r="F24" s="593">
        <f t="shared" si="1"/>
        <v>0.55833333333333335</v>
      </c>
      <c r="G24" s="593">
        <f t="shared" si="1"/>
        <v>1.1172222222222223</v>
      </c>
      <c r="H24" s="593">
        <f t="shared" si="1"/>
        <v>1.7455555555555557</v>
      </c>
      <c r="I24" s="593">
        <f t="shared" si="1"/>
        <v>2.7272222222222227</v>
      </c>
      <c r="J24" s="593">
        <f t="shared" si="1"/>
        <v>3.4211111111111108</v>
      </c>
      <c r="K24" s="593">
        <f t="shared" si="1"/>
        <v>4.4677777777777781</v>
      </c>
      <c r="L24" s="597">
        <f t="shared" si="1"/>
        <v>5.6550000000000002</v>
      </c>
    </row>
    <row r="25" spans="2:12">
      <c r="B25" s="591"/>
      <c r="C25" s="714" t="s">
        <v>853</v>
      </c>
      <c r="D25" s="714"/>
      <c r="E25" s="714"/>
      <c r="F25" s="719" t="s">
        <v>852</v>
      </c>
      <c r="G25" s="716"/>
      <c r="H25" s="716"/>
      <c r="I25" s="716"/>
      <c r="J25" s="716"/>
      <c r="K25" s="716"/>
      <c r="L25" s="717"/>
    </row>
    <row r="26" spans="2:12">
      <c r="B26" s="590" t="s">
        <v>851</v>
      </c>
      <c r="C26" s="596" t="s">
        <v>850</v>
      </c>
      <c r="D26" s="595" t="s">
        <v>850</v>
      </c>
      <c r="E26" s="594" t="s">
        <v>849</v>
      </c>
      <c r="F26" s="593" t="s">
        <v>849</v>
      </c>
      <c r="G26" s="721"/>
      <c r="H26" s="721"/>
      <c r="I26" s="721"/>
      <c r="J26" s="721"/>
      <c r="K26" s="721"/>
      <c r="L26" s="722"/>
    </row>
    <row r="27" spans="2:12">
      <c r="B27" s="590" t="s">
        <v>848</v>
      </c>
      <c r="C27" s="596" t="s">
        <v>846</v>
      </c>
      <c r="D27" s="595" t="s">
        <v>846</v>
      </c>
      <c r="E27" s="594" t="s">
        <v>845</v>
      </c>
      <c r="F27" s="593" t="s">
        <v>845</v>
      </c>
      <c r="G27" s="721"/>
      <c r="H27" s="721"/>
      <c r="I27" s="721"/>
      <c r="J27" s="721"/>
      <c r="K27" s="721"/>
      <c r="L27" s="722"/>
    </row>
    <row r="28" spans="2:12">
      <c r="B28" s="590" t="s">
        <v>847</v>
      </c>
      <c r="C28" s="596" t="s">
        <v>846</v>
      </c>
      <c r="D28" s="595" t="s">
        <v>846</v>
      </c>
      <c r="E28" s="594" t="s">
        <v>845</v>
      </c>
      <c r="F28" s="593" t="s">
        <v>845</v>
      </c>
      <c r="G28" s="721"/>
      <c r="H28" s="721"/>
      <c r="I28" s="721"/>
      <c r="J28" s="721"/>
      <c r="K28" s="721"/>
      <c r="L28" s="722"/>
    </row>
    <row r="29" spans="2:12">
      <c r="B29" s="591"/>
      <c r="C29" s="714" t="s">
        <v>844</v>
      </c>
      <c r="D29" s="714"/>
      <c r="E29" s="714"/>
      <c r="F29" s="715" t="s">
        <v>843</v>
      </c>
      <c r="G29" s="716"/>
      <c r="H29" s="716"/>
      <c r="I29" s="716"/>
      <c r="J29" s="716"/>
      <c r="K29" s="716"/>
      <c r="L29" s="717"/>
    </row>
    <row r="30" spans="2:12">
      <c r="B30" s="590" t="s">
        <v>839</v>
      </c>
      <c r="C30" s="589" t="s">
        <v>830</v>
      </c>
      <c r="D30" s="588" t="s">
        <v>830</v>
      </c>
      <c r="E30" s="588" t="s">
        <v>830</v>
      </c>
      <c r="F30" s="588" t="s">
        <v>830</v>
      </c>
      <c r="G30" s="588" t="s">
        <v>830</v>
      </c>
      <c r="H30" s="588" t="s">
        <v>830</v>
      </c>
      <c r="I30" s="587" t="s">
        <v>830</v>
      </c>
      <c r="J30" s="587" t="s">
        <v>837</v>
      </c>
      <c r="K30" s="587" t="s">
        <v>837</v>
      </c>
      <c r="L30" s="586" t="s">
        <v>837</v>
      </c>
    </row>
    <row r="31" spans="2:12">
      <c r="B31" s="590" t="s">
        <v>836</v>
      </c>
      <c r="C31" s="589" t="s">
        <v>842</v>
      </c>
      <c r="D31" s="588">
        <v>200</v>
      </c>
      <c r="E31" s="588">
        <v>200</v>
      </c>
      <c r="F31" s="588">
        <v>300</v>
      </c>
      <c r="G31" s="588">
        <v>300</v>
      </c>
      <c r="H31" s="588">
        <v>400</v>
      </c>
      <c r="I31" s="587">
        <v>350</v>
      </c>
      <c r="J31" s="587">
        <v>400</v>
      </c>
      <c r="K31" s="587">
        <v>450</v>
      </c>
      <c r="L31" s="586">
        <v>500</v>
      </c>
    </row>
    <row r="32" spans="2:12">
      <c r="B32" s="590" t="s">
        <v>835</v>
      </c>
      <c r="C32" s="589" t="s">
        <v>842</v>
      </c>
      <c r="D32" s="588">
        <v>200</v>
      </c>
      <c r="E32" s="588">
        <v>200</v>
      </c>
      <c r="F32" s="588">
        <v>300</v>
      </c>
      <c r="G32" s="588">
        <v>300</v>
      </c>
      <c r="H32" s="588">
        <v>400</v>
      </c>
      <c r="I32" s="587">
        <v>250</v>
      </c>
      <c r="J32" s="587">
        <v>250</v>
      </c>
      <c r="K32" s="587">
        <v>250</v>
      </c>
      <c r="L32" s="586">
        <v>250</v>
      </c>
    </row>
    <row r="33" spans="2:12">
      <c r="B33" s="591"/>
      <c r="C33" s="714" t="s">
        <v>841</v>
      </c>
      <c r="D33" s="714"/>
      <c r="E33" s="714"/>
      <c r="F33" s="715" t="s">
        <v>840</v>
      </c>
      <c r="G33" s="716"/>
      <c r="H33" s="716"/>
      <c r="I33" s="716"/>
      <c r="J33" s="716"/>
      <c r="K33" s="716"/>
      <c r="L33" s="717"/>
    </row>
    <row r="34" spans="2:12">
      <c r="B34" s="590" t="s">
        <v>839</v>
      </c>
      <c r="C34" s="589" t="s">
        <v>830</v>
      </c>
      <c r="D34" s="711" t="s">
        <v>838</v>
      </c>
      <c r="E34" s="588" t="s">
        <v>830</v>
      </c>
      <c r="F34" s="588" t="s">
        <v>830</v>
      </c>
      <c r="G34" s="588" t="s">
        <v>830</v>
      </c>
      <c r="H34" s="588" t="s">
        <v>830</v>
      </c>
      <c r="I34" s="588" t="s">
        <v>830</v>
      </c>
      <c r="J34" s="587" t="s">
        <v>837</v>
      </c>
      <c r="K34" s="587" t="s">
        <v>837</v>
      </c>
      <c r="L34" s="586" t="s">
        <v>837</v>
      </c>
    </row>
    <row r="35" spans="2:12">
      <c r="B35" s="590" t="s">
        <v>836</v>
      </c>
      <c r="C35" s="589">
        <v>250</v>
      </c>
      <c r="D35" s="712"/>
      <c r="E35" s="588">
        <v>150</v>
      </c>
      <c r="F35" s="588">
        <v>200</v>
      </c>
      <c r="G35" s="588">
        <v>200</v>
      </c>
      <c r="H35" s="588">
        <v>300</v>
      </c>
      <c r="I35" s="588">
        <v>350</v>
      </c>
      <c r="J35" s="587">
        <v>250</v>
      </c>
      <c r="K35" s="587">
        <v>300</v>
      </c>
      <c r="L35" s="586">
        <v>300</v>
      </c>
    </row>
    <row r="36" spans="2:12">
      <c r="B36" s="590" t="s">
        <v>835</v>
      </c>
      <c r="C36" s="589">
        <v>250</v>
      </c>
      <c r="D36" s="713"/>
      <c r="E36" s="588">
        <v>100</v>
      </c>
      <c r="F36" s="588">
        <v>150</v>
      </c>
      <c r="G36" s="588">
        <v>150</v>
      </c>
      <c r="H36" s="588">
        <v>200</v>
      </c>
      <c r="I36" s="588">
        <v>250</v>
      </c>
      <c r="J36" s="587">
        <v>250</v>
      </c>
      <c r="K36" s="587">
        <v>300</v>
      </c>
      <c r="L36" s="586">
        <v>300</v>
      </c>
    </row>
    <row r="37" spans="2:12">
      <c r="B37" s="591"/>
      <c r="C37" s="714" t="s">
        <v>834</v>
      </c>
      <c r="D37" s="714"/>
      <c r="E37" s="714"/>
      <c r="F37" s="715" t="s">
        <v>833</v>
      </c>
      <c r="G37" s="716"/>
      <c r="H37" s="716"/>
      <c r="I37" s="716"/>
      <c r="J37" s="716"/>
      <c r="K37" s="716"/>
      <c r="L37" s="717"/>
    </row>
    <row r="38" spans="2:12">
      <c r="B38" s="590" t="s">
        <v>832</v>
      </c>
      <c r="C38" s="589" t="s">
        <v>831</v>
      </c>
      <c r="D38" s="588" t="s">
        <v>831</v>
      </c>
      <c r="E38" s="588" t="s">
        <v>831</v>
      </c>
      <c r="F38" s="588" t="s">
        <v>831</v>
      </c>
      <c r="G38" s="588" t="s">
        <v>831</v>
      </c>
      <c r="H38" s="588" t="s">
        <v>831</v>
      </c>
      <c r="I38" s="587" t="s">
        <v>830</v>
      </c>
      <c r="J38" s="587" t="s">
        <v>830</v>
      </c>
      <c r="K38" s="587" t="s">
        <v>830</v>
      </c>
      <c r="L38" s="586" t="s">
        <v>830</v>
      </c>
    </row>
    <row r="39" spans="2:12" ht="15.75" thickBot="1">
      <c r="B39" s="585" t="s">
        <v>829</v>
      </c>
      <c r="C39" s="584" t="s">
        <v>828</v>
      </c>
      <c r="D39" s="583" t="s">
        <v>827</v>
      </c>
      <c r="E39" s="583" t="s">
        <v>827</v>
      </c>
      <c r="F39" s="583" t="s">
        <v>827</v>
      </c>
      <c r="G39" s="583" t="s">
        <v>827</v>
      </c>
      <c r="H39" s="583" t="s">
        <v>827</v>
      </c>
      <c r="I39" s="582" t="s">
        <v>826</v>
      </c>
      <c r="J39" s="582" t="s">
        <v>826</v>
      </c>
      <c r="K39" s="582" t="s">
        <v>826</v>
      </c>
      <c r="L39" s="582" t="s">
        <v>826</v>
      </c>
    </row>
    <row r="40" spans="2:12" s="578" customFormat="1"/>
    <row r="41" spans="2:12" s="578" customFormat="1"/>
    <row r="42" spans="2:12" s="578" customFormat="1" ht="15.75" thickBot="1"/>
    <row r="43" spans="2:12" ht="15.75" thickBot="1">
      <c r="B43" s="578"/>
      <c r="C43" s="578"/>
      <c r="D43" s="578"/>
      <c r="E43" s="578"/>
      <c r="F43" s="578"/>
      <c r="G43" s="578"/>
      <c r="H43" s="578"/>
      <c r="I43" s="578"/>
      <c r="J43" s="578"/>
      <c r="K43" s="578"/>
      <c r="L43" s="604" t="s">
        <v>888</v>
      </c>
    </row>
    <row r="44" spans="2:12" ht="45">
      <c r="B44" s="602"/>
      <c r="C44" s="601" t="s">
        <v>883</v>
      </c>
      <c r="D44" s="600" t="s">
        <v>882</v>
      </c>
      <c r="E44" s="600" t="s">
        <v>881</v>
      </c>
      <c r="F44" s="600" t="s">
        <v>880</v>
      </c>
      <c r="G44" s="600" t="s">
        <v>879</v>
      </c>
      <c r="H44" s="600" t="s">
        <v>878</v>
      </c>
      <c r="I44" s="600" t="s">
        <v>877</v>
      </c>
      <c r="J44" s="600" t="s">
        <v>876</v>
      </c>
      <c r="K44" s="600" t="s">
        <v>875</v>
      </c>
      <c r="L44" s="599" t="s">
        <v>874</v>
      </c>
    </row>
    <row r="45" spans="2:12">
      <c r="B45" s="590" t="s">
        <v>855</v>
      </c>
      <c r="C45" s="589">
        <v>3.14</v>
      </c>
      <c r="D45" s="1">
        <v>3.14</v>
      </c>
      <c r="E45" s="1">
        <v>4.5199999999999996</v>
      </c>
      <c r="F45" s="1">
        <v>8.0399999999999991</v>
      </c>
      <c r="G45" s="1">
        <v>16.079999999999998</v>
      </c>
      <c r="H45" s="1">
        <v>25.13</v>
      </c>
      <c r="I45" s="1">
        <v>39.270000000000003</v>
      </c>
      <c r="J45" s="1">
        <v>49.26</v>
      </c>
      <c r="K45" s="1">
        <v>64.34</v>
      </c>
      <c r="L45" s="598">
        <v>81.430000000000007</v>
      </c>
    </row>
    <row r="46" spans="2:12">
      <c r="B46" s="590" t="s">
        <v>854</v>
      </c>
      <c r="C46" s="596">
        <f>C45/(20*100)*100</f>
        <v>0.157</v>
      </c>
      <c r="D46" s="593">
        <f>D45/(18*100)*100</f>
        <v>0.17444444444444446</v>
      </c>
      <c r="E46" s="593">
        <f t="shared" ref="E46:L46" si="2">E45/(20*100)*100</f>
        <v>0.22599999999999998</v>
      </c>
      <c r="F46" s="593">
        <f t="shared" si="2"/>
        <v>0.40199999999999991</v>
      </c>
      <c r="G46" s="593">
        <f t="shared" si="2"/>
        <v>0.80399999999999983</v>
      </c>
      <c r="H46" s="593">
        <f t="shared" si="2"/>
        <v>1.2565</v>
      </c>
      <c r="I46" s="593">
        <f t="shared" si="2"/>
        <v>1.9635000000000002</v>
      </c>
      <c r="J46" s="593">
        <f t="shared" si="2"/>
        <v>2.4630000000000001</v>
      </c>
      <c r="K46" s="593">
        <f t="shared" si="2"/>
        <v>3.2170000000000005</v>
      </c>
      <c r="L46" s="597">
        <f t="shared" si="2"/>
        <v>4.0715000000000003</v>
      </c>
    </row>
    <row r="47" spans="2:12">
      <c r="B47" s="591"/>
      <c r="C47" s="714" t="s">
        <v>853</v>
      </c>
      <c r="D47" s="714"/>
      <c r="E47" s="714"/>
      <c r="F47" s="719" t="s">
        <v>852</v>
      </c>
      <c r="G47" s="716"/>
      <c r="H47" s="716"/>
      <c r="I47" s="716"/>
      <c r="J47" s="716"/>
      <c r="K47" s="716"/>
      <c r="L47" s="717"/>
    </row>
    <row r="48" spans="2:12">
      <c r="B48" s="590" t="s">
        <v>851</v>
      </c>
      <c r="C48" s="596" t="s">
        <v>873</v>
      </c>
      <c r="D48" s="595" t="s">
        <v>873</v>
      </c>
      <c r="E48" s="594" t="s">
        <v>872</v>
      </c>
      <c r="F48" s="594" t="s">
        <v>872</v>
      </c>
      <c r="G48" s="720"/>
      <c r="H48" s="721"/>
      <c r="I48" s="721"/>
      <c r="J48" s="721"/>
      <c r="K48" s="721"/>
      <c r="L48" s="722"/>
    </row>
    <row r="49" spans="2:12">
      <c r="B49" s="590" t="s">
        <v>848</v>
      </c>
      <c r="C49" s="596" t="s">
        <v>871</v>
      </c>
      <c r="D49" s="595" t="s">
        <v>871</v>
      </c>
      <c r="E49" s="594" t="s">
        <v>870</v>
      </c>
      <c r="F49" s="594" t="s">
        <v>870</v>
      </c>
      <c r="G49" s="720"/>
      <c r="H49" s="721"/>
      <c r="I49" s="721"/>
      <c r="J49" s="721"/>
      <c r="K49" s="721"/>
      <c r="L49" s="722"/>
    </row>
    <row r="50" spans="2:12">
      <c r="B50" s="590" t="s">
        <v>847</v>
      </c>
      <c r="C50" s="596" t="s">
        <v>871</v>
      </c>
      <c r="D50" s="595" t="s">
        <v>871</v>
      </c>
      <c r="E50" s="594" t="s">
        <v>870</v>
      </c>
      <c r="F50" s="594" t="s">
        <v>870</v>
      </c>
      <c r="G50" s="720"/>
      <c r="H50" s="721"/>
      <c r="I50" s="721"/>
      <c r="J50" s="721"/>
      <c r="K50" s="721"/>
      <c r="L50" s="722"/>
    </row>
    <row r="51" spans="2:12">
      <c r="B51" s="591"/>
      <c r="C51" s="714" t="s">
        <v>844</v>
      </c>
      <c r="D51" s="714"/>
      <c r="E51" s="714"/>
      <c r="F51" s="715" t="s">
        <v>843</v>
      </c>
      <c r="G51" s="716"/>
      <c r="H51" s="716"/>
      <c r="I51" s="716"/>
      <c r="J51" s="716"/>
      <c r="K51" s="716"/>
      <c r="L51" s="717"/>
    </row>
    <row r="52" spans="2:12">
      <c r="B52" s="590" t="s">
        <v>839</v>
      </c>
      <c r="C52" s="589" t="s">
        <v>830</v>
      </c>
      <c r="D52" s="588" t="s">
        <v>830</v>
      </c>
      <c r="E52" s="588" t="s">
        <v>830</v>
      </c>
      <c r="F52" s="588" t="s">
        <v>830</v>
      </c>
      <c r="G52" s="588" t="s">
        <v>830</v>
      </c>
      <c r="H52" s="588" t="s">
        <v>830</v>
      </c>
      <c r="I52" s="587" t="s">
        <v>830</v>
      </c>
      <c r="J52" s="587" t="s">
        <v>837</v>
      </c>
      <c r="K52" s="587" t="s">
        <v>837</v>
      </c>
      <c r="L52" s="586" t="s">
        <v>837</v>
      </c>
    </row>
    <row r="53" spans="2:12">
      <c r="B53" s="590" t="s">
        <v>836</v>
      </c>
      <c r="C53" s="589" t="s">
        <v>842</v>
      </c>
      <c r="D53" s="588">
        <v>200</v>
      </c>
      <c r="E53" s="588">
        <v>200</v>
      </c>
      <c r="F53" s="588">
        <v>300</v>
      </c>
      <c r="G53" s="588">
        <v>300</v>
      </c>
      <c r="H53" s="588">
        <v>400</v>
      </c>
      <c r="I53" s="587">
        <v>350</v>
      </c>
      <c r="J53" s="587">
        <v>400</v>
      </c>
      <c r="K53" s="587">
        <v>450</v>
      </c>
      <c r="L53" s="586">
        <v>500</v>
      </c>
    </row>
    <row r="54" spans="2:12">
      <c r="B54" s="590" t="s">
        <v>835</v>
      </c>
      <c r="C54" s="589" t="s">
        <v>842</v>
      </c>
      <c r="D54" s="588">
        <v>200</v>
      </c>
      <c r="E54" s="588">
        <v>200</v>
      </c>
      <c r="F54" s="588">
        <v>300</v>
      </c>
      <c r="G54" s="588">
        <v>300</v>
      </c>
      <c r="H54" s="588">
        <v>400</v>
      </c>
      <c r="I54" s="587">
        <v>250</v>
      </c>
      <c r="J54" s="587">
        <v>250</v>
      </c>
      <c r="K54" s="587">
        <v>250</v>
      </c>
      <c r="L54" s="586">
        <v>250</v>
      </c>
    </row>
    <row r="55" spans="2:12">
      <c r="B55" s="591"/>
      <c r="C55" s="714" t="s">
        <v>841</v>
      </c>
      <c r="D55" s="714"/>
      <c r="E55" s="714"/>
      <c r="F55" s="715" t="s">
        <v>840</v>
      </c>
      <c r="G55" s="716"/>
      <c r="H55" s="716"/>
      <c r="I55" s="716"/>
      <c r="J55" s="716"/>
      <c r="K55" s="716"/>
      <c r="L55" s="717"/>
    </row>
    <row r="56" spans="2:12">
      <c r="B56" s="590" t="s">
        <v>839</v>
      </c>
      <c r="C56" s="589" t="s">
        <v>830</v>
      </c>
      <c r="D56" s="711" t="s">
        <v>838</v>
      </c>
      <c r="E56" s="588" t="s">
        <v>830</v>
      </c>
      <c r="F56" s="588" t="s">
        <v>830</v>
      </c>
      <c r="G56" s="588" t="s">
        <v>830</v>
      </c>
      <c r="H56" s="588" t="s">
        <v>830</v>
      </c>
      <c r="I56" s="588" t="s">
        <v>830</v>
      </c>
      <c r="J56" s="587" t="s">
        <v>837</v>
      </c>
      <c r="K56" s="587" t="s">
        <v>837</v>
      </c>
      <c r="L56" s="586" t="s">
        <v>837</v>
      </c>
    </row>
    <row r="57" spans="2:12">
      <c r="B57" s="590" t="s">
        <v>836</v>
      </c>
      <c r="C57" s="589">
        <v>250</v>
      </c>
      <c r="D57" s="712"/>
      <c r="E57" s="588">
        <v>150</v>
      </c>
      <c r="F57" s="588">
        <v>200</v>
      </c>
      <c r="G57" s="588">
        <v>200</v>
      </c>
      <c r="H57" s="588">
        <v>300</v>
      </c>
      <c r="I57" s="588">
        <v>350</v>
      </c>
      <c r="J57" s="588">
        <v>400</v>
      </c>
      <c r="K57" s="587">
        <v>300</v>
      </c>
      <c r="L57" s="586">
        <v>300</v>
      </c>
    </row>
    <row r="58" spans="2:12">
      <c r="B58" s="590" t="s">
        <v>835</v>
      </c>
      <c r="C58" s="589">
        <v>250</v>
      </c>
      <c r="D58" s="713"/>
      <c r="E58" s="588">
        <v>100</v>
      </c>
      <c r="F58" s="588">
        <v>150</v>
      </c>
      <c r="G58" s="588">
        <v>150</v>
      </c>
      <c r="H58" s="588">
        <v>200</v>
      </c>
      <c r="I58" s="588">
        <v>250</v>
      </c>
      <c r="J58" s="588">
        <v>250</v>
      </c>
      <c r="K58" s="587">
        <v>300</v>
      </c>
      <c r="L58" s="586">
        <v>300</v>
      </c>
    </row>
    <row r="59" spans="2:12">
      <c r="B59" s="591"/>
      <c r="C59" s="714" t="s">
        <v>834</v>
      </c>
      <c r="D59" s="714"/>
      <c r="E59" s="714"/>
      <c r="F59" s="715" t="s">
        <v>869</v>
      </c>
      <c r="G59" s="716"/>
      <c r="H59" s="716"/>
      <c r="I59" s="716"/>
      <c r="J59" s="716"/>
      <c r="K59" s="716"/>
      <c r="L59" s="717"/>
    </row>
    <row r="60" spans="2:12">
      <c r="B60" s="590" t="s">
        <v>832</v>
      </c>
      <c r="C60" s="589" t="s">
        <v>831</v>
      </c>
      <c r="D60" s="588" t="s">
        <v>831</v>
      </c>
      <c r="E60" s="588" t="s">
        <v>831</v>
      </c>
      <c r="F60" s="588" t="s">
        <v>831</v>
      </c>
      <c r="G60" s="588" t="s">
        <v>831</v>
      </c>
      <c r="H60" s="588" t="s">
        <v>831</v>
      </c>
      <c r="I60" s="587" t="s">
        <v>830</v>
      </c>
      <c r="J60" s="587" t="s">
        <v>830</v>
      </c>
      <c r="K60" s="587" t="s">
        <v>830</v>
      </c>
      <c r="L60" s="586" t="s">
        <v>830</v>
      </c>
    </row>
    <row r="61" spans="2:12" ht="15.75" thickBot="1">
      <c r="B61" s="585" t="s">
        <v>829</v>
      </c>
      <c r="C61" s="584" t="s">
        <v>868</v>
      </c>
      <c r="D61" s="583" t="s">
        <v>867</v>
      </c>
      <c r="E61" s="583" t="s">
        <v>867</v>
      </c>
      <c r="F61" s="583" t="s">
        <v>867</v>
      </c>
      <c r="G61" s="583" t="s">
        <v>867</v>
      </c>
      <c r="H61" s="583" t="s">
        <v>867</v>
      </c>
      <c r="I61" s="582" t="s">
        <v>866</v>
      </c>
      <c r="J61" s="582" t="s">
        <v>866</v>
      </c>
      <c r="K61" s="582" t="s">
        <v>866</v>
      </c>
      <c r="L61" s="603" t="s">
        <v>866</v>
      </c>
    </row>
    <row r="62" spans="2:12" ht="15.75" thickBot="1">
      <c r="B62" s="646"/>
      <c r="C62" s="718"/>
      <c r="D62" s="718"/>
      <c r="E62" s="718"/>
      <c r="F62" s="718"/>
      <c r="G62" s="718"/>
      <c r="H62" s="718"/>
      <c r="I62" s="718"/>
      <c r="J62" s="718"/>
      <c r="K62" s="718"/>
      <c r="L62" s="647"/>
    </row>
    <row r="63" spans="2:12" ht="45">
      <c r="B63" s="602"/>
      <c r="C63" s="601" t="s">
        <v>865</v>
      </c>
      <c r="D63" s="600" t="s">
        <v>864</v>
      </c>
      <c r="E63" s="600" t="s">
        <v>863</v>
      </c>
      <c r="F63" s="600" t="s">
        <v>862</v>
      </c>
      <c r="G63" s="600" t="s">
        <v>861</v>
      </c>
      <c r="H63" s="600" t="s">
        <v>860</v>
      </c>
      <c r="I63" s="600" t="s">
        <v>859</v>
      </c>
      <c r="J63" s="600" t="s">
        <v>858</v>
      </c>
      <c r="K63" s="600" t="s">
        <v>857</v>
      </c>
      <c r="L63" s="599" t="s">
        <v>856</v>
      </c>
    </row>
    <row r="64" spans="2:12">
      <c r="B64" s="590" t="s">
        <v>855</v>
      </c>
      <c r="C64" s="589">
        <v>3.93</v>
      </c>
      <c r="D64" s="1">
        <v>3.93</v>
      </c>
      <c r="E64" s="1">
        <v>5.6550000000000002</v>
      </c>
      <c r="F64" s="1">
        <v>10.050000000000001</v>
      </c>
      <c r="G64" s="1">
        <v>20.11</v>
      </c>
      <c r="H64" s="1">
        <v>31.42</v>
      </c>
      <c r="I64" s="1">
        <v>49.09</v>
      </c>
      <c r="J64" s="1">
        <v>61.58</v>
      </c>
      <c r="K64" s="1">
        <v>80.42</v>
      </c>
      <c r="L64" s="598">
        <v>101.79</v>
      </c>
    </row>
    <row r="65" spans="2:12">
      <c r="B65" s="590" t="s">
        <v>854</v>
      </c>
      <c r="C65" s="596">
        <f>C64/(20*100)*100</f>
        <v>0.19650000000000001</v>
      </c>
      <c r="D65" s="593">
        <f>D64/(18*100)*100</f>
        <v>0.21833333333333335</v>
      </c>
      <c r="E65" s="593">
        <f t="shared" ref="E65:L65" si="3">E64/(20*100)*100</f>
        <v>0.28275</v>
      </c>
      <c r="F65" s="593">
        <f t="shared" si="3"/>
        <v>0.50249999999999995</v>
      </c>
      <c r="G65" s="593">
        <f t="shared" si="3"/>
        <v>1.0055000000000001</v>
      </c>
      <c r="H65" s="593">
        <f t="shared" si="3"/>
        <v>1.5710000000000002</v>
      </c>
      <c r="I65" s="593">
        <f t="shared" si="3"/>
        <v>2.4544999999999999</v>
      </c>
      <c r="J65" s="593">
        <f t="shared" si="3"/>
        <v>3.0789999999999997</v>
      </c>
      <c r="K65" s="593">
        <f t="shared" si="3"/>
        <v>4.0209999999999999</v>
      </c>
      <c r="L65" s="597">
        <f t="shared" si="3"/>
        <v>5.0895000000000001</v>
      </c>
    </row>
    <row r="66" spans="2:12">
      <c r="B66" s="591"/>
      <c r="C66" s="714" t="s">
        <v>853</v>
      </c>
      <c r="D66" s="714"/>
      <c r="E66" s="714"/>
      <c r="F66" s="719" t="s">
        <v>852</v>
      </c>
      <c r="G66" s="716"/>
      <c r="H66" s="716"/>
      <c r="I66" s="716"/>
      <c r="J66" s="716"/>
      <c r="K66" s="716"/>
      <c r="L66" s="717"/>
    </row>
    <row r="67" spans="2:12">
      <c r="B67" s="590" t="s">
        <v>851</v>
      </c>
      <c r="C67" s="596" t="s">
        <v>850</v>
      </c>
      <c r="D67" s="595" t="s">
        <v>850</v>
      </c>
      <c r="E67" s="594" t="s">
        <v>849</v>
      </c>
      <c r="F67" s="593" t="s">
        <v>849</v>
      </c>
      <c r="G67" s="721"/>
      <c r="H67" s="721"/>
      <c r="I67" s="721"/>
      <c r="J67" s="721"/>
      <c r="K67" s="721"/>
      <c r="L67" s="722"/>
    </row>
    <row r="68" spans="2:12">
      <c r="B68" s="590" t="s">
        <v>848</v>
      </c>
      <c r="C68" s="596" t="s">
        <v>846</v>
      </c>
      <c r="D68" s="595" t="s">
        <v>846</v>
      </c>
      <c r="E68" s="594" t="s">
        <v>845</v>
      </c>
      <c r="F68" s="593" t="s">
        <v>845</v>
      </c>
      <c r="G68" s="721"/>
      <c r="H68" s="721"/>
      <c r="I68" s="721"/>
      <c r="J68" s="721"/>
      <c r="K68" s="721"/>
      <c r="L68" s="722"/>
    </row>
    <row r="69" spans="2:12">
      <c r="B69" s="590" t="s">
        <v>847</v>
      </c>
      <c r="C69" s="596" t="s">
        <v>846</v>
      </c>
      <c r="D69" s="595" t="s">
        <v>846</v>
      </c>
      <c r="E69" s="594" t="s">
        <v>845</v>
      </c>
      <c r="F69" s="593" t="s">
        <v>845</v>
      </c>
      <c r="G69" s="721"/>
      <c r="H69" s="721"/>
      <c r="I69" s="721"/>
      <c r="J69" s="721"/>
      <c r="K69" s="721"/>
      <c r="L69" s="722"/>
    </row>
    <row r="70" spans="2:12">
      <c r="B70" s="591"/>
      <c r="C70" s="714" t="s">
        <v>844</v>
      </c>
      <c r="D70" s="714"/>
      <c r="E70" s="714"/>
      <c r="F70" s="715" t="s">
        <v>843</v>
      </c>
      <c r="G70" s="716"/>
      <c r="H70" s="716"/>
      <c r="I70" s="716"/>
      <c r="J70" s="716"/>
      <c r="K70" s="716"/>
      <c r="L70" s="717"/>
    </row>
    <row r="71" spans="2:12">
      <c r="B71" s="590" t="s">
        <v>839</v>
      </c>
      <c r="C71" s="589" t="s">
        <v>830</v>
      </c>
      <c r="D71" s="588" t="s">
        <v>830</v>
      </c>
      <c r="E71" s="588" t="s">
        <v>830</v>
      </c>
      <c r="F71" s="588" t="s">
        <v>830</v>
      </c>
      <c r="G71" s="588" t="s">
        <v>830</v>
      </c>
      <c r="H71" s="588" t="s">
        <v>830</v>
      </c>
      <c r="I71" s="587" t="s">
        <v>830</v>
      </c>
      <c r="J71" s="587" t="s">
        <v>837</v>
      </c>
      <c r="K71" s="587" t="s">
        <v>837</v>
      </c>
      <c r="L71" s="586" t="s">
        <v>837</v>
      </c>
    </row>
    <row r="72" spans="2:12">
      <c r="B72" s="590" t="s">
        <v>836</v>
      </c>
      <c r="C72" s="589" t="s">
        <v>842</v>
      </c>
      <c r="D72" s="588">
        <v>200</v>
      </c>
      <c r="E72" s="588">
        <v>200</v>
      </c>
      <c r="F72" s="588">
        <v>300</v>
      </c>
      <c r="G72" s="588">
        <v>300</v>
      </c>
      <c r="H72" s="588">
        <v>400</v>
      </c>
      <c r="I72" s="587">
        <v>350</v>
      </c>
      <c r="J72" s="587">
        <v>400</v>
      </c>
      <c r="K72" s="587">
        <v>450</v>
      </c>
      <c r="L72" s="586">
        <v>500</v>
      </c>
    </row>
    <row r="73" spans="2:12">
      <c r="B73" s="590" t="s">
        <v>835</v>
      </c>
      <c r="C73" s="589" t="s">
        <v>842</v>
      </c>
      <c r="D73" s="588">
        <v>200</v>
      </c>
      <c r="E73" s="588">
        <v>200</v>
      </c>
      <c r="F73" s="588">
        <v>300</v>
      </c>
      <c r="G73" s="588">
        <v>300</v>
      </c>
      <c r="H73" s="588">
        <v>400</v>
      </c>
      <c r="I73" s="587">
        <v>250</v>
      </c>
      <c r="J73" s="587">
        <v>250</v>
      </c>
      <c r="K73" s="587">
        <v>250</v>
      </c>
      <c r="L73" s="586">
        <v>250</v>
      </c>
    </row>
    <row r="74" spans="2:12">
      <c r="B74" s="591"/>
      <c r="C74" s="714" t="s">
        <v>841</v>
      </c>
      <c r="D74" s="714"/>
      <c r="E74" s="714"/>
      <c r="F74" s="715" t="s">
        <v>840</v>
      </c>
      <c r="G74" s="716"/>
      <c r="H74" s="716"/>
      <c r="I74" s="716"/>
      <c r="J74" s="716"/>
      <c r="K74" s="716"/>
      <c r="L74" s="717"/>
    </row>
    <row r="75" spans="2:12">
      <c r="B75" s="590" t="s">
        <v>839</v>
      </c>
      <c r="C75" s="589" t="s">
        <v>830</v>
      </c>
      <c r="D75" s="711" t="s">
        <v>838</v>
      </c>
      <c r="E75" s="588" t="s">
        <v>830</v>
      </c>
      <c r="F75" s="588" t="s">
        <v>830</v>
      </c>
      <c r="G75" s="588" t="s">
        <v>830</v>
      </c>
      <c r="H75" s="588" t="s">
        <v>830</v>
      </c>
      <c r="I75" s="588" t="s">
        <v>830</v>
      </c>
      <c r="J75" s="587" t="s">
        <v>837</v>
      </c>
      <c r="K75" s="587" t="s">
        <v>837</v>
      </c>
      <c r="L75" s="586" t="s">
        <v>837</v>
      </c>
    </row>
    <row r="76" spans="2:12">
      <c r="B76" s="590" t="s">
        <v>836</v>
      </c>
      <c r="C76" s="589">
        <v>250</v>
      </c>
      <c r="D76" s="712"/>
      <c r="E76" s="588">
        <v>150</v>
      </c>
      <c r="F76" s="588">
        <v>200</v>
      </c>
      <c r="G76" s="588">
        <v>200</v>
      </c>
      <c r="H76" s="588">
        <v>300</v>
      </c>
      <c r="I76" s="588">
        <v>350</v>
      </c>
      <c r="J76" s="587">
        <v>250</v>
      </c>
      <c r="K76" s="587">
        <v>300</v>
      </c>
      <c r="L76" s="586">
        <v>300</v>
      </c>
    </row>
    <row r="77" spans="2:12">
      <c r="B77" s="590" t="s">
        <v>835</v>
      </c>
      <c r="C77" s="589">
        <v>250</v>
      </c>
      <c r="D77" s="713"/>
      <c r="E77" s="588">
        <v>100</v>
      </c>
      <c r="F77" s="588">
        <v>150</v>
      </c>
      <c r="G77" s="588">
        <v>150</v>
      </c>
      <c r="H77" s="588">
        <v>200</v>
      </c>
      <c r="I77" s="588">
        <v>250</v>
      </c>
      <c r="J77" s="587">
        <v>250</v>
      </c>
      <c r="K77" s="587">
        <v>300</v>
      </c>
      <c r="L77" s="586">
        <v>300</v>
      </c>
    </row>
    <row r="78" spans="2:12">
      <c r="B78" s="591"/>
      <c r="C78" s="714" t="s">
        <v>834</v>
      </c>
      <c r="D78" s="714"/>
      <c r="E78" s="714"/>
      <c r="F78" s="715" t="s">
        <v>833</v>
      </c>
      <c r="G78" s="716"/>
      <c r="H78" s="716"/>
      <c r="I78" s="716"/>
      <c r="J78" s="716"/>
      <c r="K78" s="716"/>
      <c r="L78" s="717"/>
    </row>
    <row r="79" spans="2:12">
      <c r="B79" s="590" t="s">
        <v>832</v>
      </c>
      <c r="C79" s="589" t="s">
        <v>831</v>
      </c>
      <c r="D79" s="588" t="s">
        <v>831</v>
      </c>
      <c r="E79" s="588" t="s">
        <v>831</v>
      </c>
      <c r="F79" s="588" t="s">
        <v>831</v>
      </c>
      <c r="G79" s="588" t="s">
        <v>831</v>
      </c>
      <c r="H79" s="588" t="s">
        <v>831</v>
      </c>
      <c r="I79" s="587" t="s">
        <v>830</v>
      </c>
      <c r="J79" s="587" t="s">
        <v>830</v>
      </c>
      <c r="K79" s="587" t="s">
        <v>830</v>
      </c>
      <c r="L79" s="586" t="s">
        <v>830</v>
      </c>
    </row>
    <row r="80" spans="2:12" ht="15.75" thickBot="1">
      <c r="B80" s="585" t="s">
        <v>829</v>
      </c>
      <c r="C80" s="584" t="s">
        <v>828</v>
      </c>
      <c r="D80" s="583" t="s">
        <v>827</v>
      </c>
      <c r="E80" s="583" t="s">
        <v>827</v>
      </c>
      <c r="F80" s="583" t="s">
        <v>827</v>
      </c>
      <c r="G80" s="583" t="s">
        <v>827</v>
      </c>
      <c r="H80" s="583" t="s">
        <v>827</v>
      </c>
      <c r="I80" s="582" t="s">
        <v>826</v>
      </c>
      <c r="J80" s="582" t="s">
        <v>826</v>
      </c>
      <c r="K80" s="582" t="s">
        <v>826</v>
      </c>
      <c r="L80" s="582" t="s">
        <v>826</v>
      </c>
    </row>
    <row r="81" spans="2:12" s="578" customFormat="1"/>
    <row r="82" spans="2:12" s="578" customFormat="1"/>
    <row r="83" spans="2:12" s="578" customFormat="1" ht="15.75" thickBot="1"/>
    <row r="84" spans="2:12" s="578" customFormat="1" ht="15.75" thickBot="1">
      <c r="L84" s="604" t="s">
        <v>887</v>
      </c>
    </row>
    <row r="85" spans="2:12" s="578" customFormat="1" ht="45">
      <c r="B85" s="602"/>
      <c r="C85" s="601" t="s">
        <v>883</v>
      </c>
      <c r="D85" s="600" t="s">
        <v>882</v>
      </c>
      <c r="E85" s="600" t="s">
        <v>881</v>
      </c>
      <c r="F85" s="600" t="s">
        <v>880</v>
      </c>
      <c r="G85" s="600" t="s">
        <v>879</v>
      </c>
      <c r="H85" s="600" t="s">
        <v>878</v>
      </c>
      <c r="I85" s="600" t="s">
        <v>877</v>
      </c>
      <c r="J85" s="600" t="s">
        <v>876</v>
      </c>
      <c r="K85" s="600" t="s">
        <v>875</v>
      </c>
      <c r="L85" s="599" t="s">
        <v>874</v>
      </c>
    </row>
    <row r="86" spans="2:12" s="578" customFormat="1">
      <c r="B86" s="590" t="s">
        <v>855</v>
      </c>
      <c r="C86" s="589">
        <v>3.14</v>
      </c>
      <c r="D86" s="1">
        <v>3.14</v>
      </c>
      <c r="E86" s="1">
        <v>4.5199999999999996</v>
      </c>
      <c r="F86" s="1">
        <v>8.0399999999999991</v>
      </c>
      <c r="G86" s="1">
        <v>16.079999999999998</v>
      </c>
      <c r="H86" s="1">
        <v>25.13</v>
      </c>
      <c r="I86" s="1">
        <v>39.270000000000003</v>
      </c>
      <c r="J86" s="1">
        <v>49.26</v>
      </c>
      <c r="K86" s="1">
        <v>64.34</v>
      </c>
      <c r="L86" s="598">
        <v>81.430000000000007</v>
      </c>
    </row>
    <row r="87" spans="2:12" s="578" customFormat="1">
      <c r="B87" s="590" t="s">
        <v>854</v>
      </c>
      <c r="C87" s="596">
        <f>C86/(25*100)*100</f>
        <v>0.12559999999999999</v>
      </c>
      <c r="D87" s="593">
        <f>D86/(18*100)*100</f>
        <v>0.17444444444444446</v>
      </c>
      <c r="E87" s="593">
        <f t="shared" ref="E87:L87" si="4">E86/(25*100)*100</f>
        <v>0.18079999999999999</v>
      </c>
      <c r="F87" s="593">
        <f t="shared" si="4"/>
        <v>0.32159999999999994</v>
      </c>
      <c r="G87" s="593">
        <f t="shared" si="4"/>
        <v>0.64319999999999988</v>
      </c>
      <c r="H87" s="593">
        <f t="shared" si="4"/>
        <v>1.0052000000000001</v>
      </c>
      <c r="I87" s="593">
        <f t="shared" si="4"/>
        <v>1.5708</v>
      </c>
      <c r="J87" s="593">
        <f t="shared" si="4"/>
        <v>1.9703999999999999</v>
      </c>
      <c r="K87" s="593">
        <f t="shared" si="4"/>
        <v>2.5736000000000003</v>
      </c>
      <c r="L87" s="597">
        <f t="shared" si="4"/>
        <v>3.2572000000000005</v>
      </c>
    </row>
    <row r="88" spans="2:12" s="578" customFormat="1">
      <c r="B88" s="591"/>
      <c r="C88" s="714" t="s">
        <v>853</v>
      </c>
      <c r="D88" s="714"/>
      <c r="E88" s="714"/>
      <c r="F88" s="719" t="s">
        <v>852</v>
      </c>
      <c r="G88" s="716"/>
      <c r="H88" s="716"/>
      <c r="I88" s="716"/>
      <c r="J88" s="716"/>
      <c r="K88" s="716"/>
      <c r="L88" s="717"/>
    </row>
    <row r="89" spans="2:12" s="578" customFormat="1">
      <c r="B89" s="590" t="s">
        <v>851</v>
      </c>
      <c r="C89" s="596" t="s">
        <v>873</v>
      </c>
      <c r="D89" s="595" t="s">
        <v>873</v>
      </c>
      <c r="E89" s="594" t="s">
        <v>872</v>
      </c>
      <c r="F89" s="594" t="s">
        <v>872</v>
      </c>
      <c r="G89" s="720"/>
      <c r="H89" s="721"/>
      <c r="I89" s="721"/>
      <c r="J89" s="721"/>
      <c r="K89" s="721"/>
      <c r="L89" s="722"/>
    </row>
    <row r="90" spans="2:12" s="578" customFormat="1">
      <c r="B90" s="590" t="s">
        <v>848</v>
      </c>
      <c r="C90" s="596" t="s">
        <v>871</v>
      </c>
      <c r="D90" s="595" t="s">
        <v>871</v>
      </c>
      <c r="E90" s="594" t="s">
        <v>870</v>
      </c>
      <c r="F90" s="594" t="s">
        <v>870</v>
      </c>
      <c r="G90" s="720"/>
      <c r="H90" s="721"/>
      <c r="I90" s="721"/>
      <c r="J90" s="721"/>
      <c r="K90" s="721"/>
      <c r="L90" s="722"/>
    </row>
    <row r="91" spans="2:12" s="578" customFormat="1">
      <c r="B91" s="590" t="s">
        <v>847</v>
      </c>
      <c r="C91" s="596" t="s">
        <v>871</v>
      </c>
      <c r="D91" s="595" t="s">
        <v>871</v>
      </c>
      <c r="E91" s="594" t="s">
        <v>870</v>
      </c>
      <c r="F91" s="594" t="s">
        <v>870</v>
      </c>
      <c r="G91" s="720"/>
      <c r="H91" s="721"/>
      <c r="I91" s="721"/>
      <c r="J91" s="721"/>
      <c r="K91" s="721"/>
      <c r="L91" s="722"/>
    </row>
    <row r="92" spans="2:12" s="578" customFormat="1">
      <c r="B92" s="591"/>
      <c r="C92" s="714" t="s">
        <v>844</v>
      </c>
      <c r="D92" s="714"/>
      <c r="E92" s="714"/>
      <c r="F92" s="715" t="s">
        <v>843</v>
      </c>
      <c r="G92" s="716"/>
      <c r="H92" s="716"/>
      <c r="I92" s="716"/>
      <c r="J92" s="716"/>
      <c r="K92" s="716"/>
      <c r="L92" s="717"/>
    </row>
    <row r="93" spans="2:12" s="578" customFormat="1">
      <c r="B93" s="590" t="s">
        <v>839</v>
      </c>
      <c r="C93" s="589" t="s">
        <v>830</v>
      </c>
      <c r="D93" s="588" t="s">
        <v>830</v>
      </c>
      <c r="E93" s="588" t="s">
        <v>830</v>
      </c>
      <c r="F93" s="588" t="s">
        <v>830</v>
      </c>
      <c r="G93" s="588" t="s">
        <v>830</v>
      </c>
      <c r="H93" s="588" t="s">
        <v>830</v>
      </c>
      <c r="I93" s="588" t="s">
        <v>830</v>
      </c>
      <c r="J93" s="587" t="s">
        <v>837</v>
      </c>
      <c r="K93" s="587" t="s">
        <v>837</v>
      </c>
      <c r="L93" s="586" t="s">
        <v>837</v>
      </c>
    </row>
    <row r="94" spans="2:12" s="578" customFormat="1">
      <c r="B94" s="590" t="s">
        <v>836</v>
      </c>
      <c r="C94" s="589" t="s">
        <v>842</v>
      </c>
      <c r="D94" s="588">
        <v>200</v>
      </c>
      <c r="E94" s="588">
        <v>200</v>
      </c>
      <c r="F94" s="588">
        <v>300</v>
      </c>
      <c r="G94" s="588">
        <v>300</v>
      </c>
      <c r="H94" s="588">
        <v>400</v>
      </c>
      <c r="I94" s="588">
        <v>500</v>
      </c>
      <c r="J94" s="587">
        <v>400</v>
      </c>
      <c r="K94" s="587">
        <v>450</v>
      </c>
      <c r="L94" s="586">
        <v>500</v>
      </c>
    </row>
    <row r="95" spans="2:12" s="578" customFormat="1">
      <c r="B95" s="590" t="s">
        <v>835</v>
      </c>
      <c r="C95" s="589" t="s">
        <v>842</v>
      </c>
      <c r="D95" s="588">
        <v>200</v>
      </c>
      <c r="E95" s="588">
        <v>200</v>
      </c>
      <c r="F95" s="588">
        <v>300</v>
      </c>
      <c r="G95" s="588">
        <v>300</v>
      </c>
      <c r="H95" s="588">
        <v>400</v>
      </c>
      <c r="I95" s="588">
        <v>500</v>
      </c>
      <c r="J95" s="587">
        <v>250</v>
      </c>
      <c r="K95" s="587">
        <v>250</v>
      </c>
      <c r="L95" s="586">
        <v>250</v>
      </c>
    </row>
    <row r="96" spans="2:12" s="578" customFormat="1">
      <c r="B96" s="591"/>
      <c r="C96" s="714" t="s">
        <v>841</v>
      </c>
      <c r="D96" s="714"/>
      <c r="E96" s="714"/>
      <c r="F96" s="715" t="s">
        <v>840</v>
      </c>
      <c r="G96" s="716"/>
      <c r="H96" s="716"/>
      <c r="I96" s="716"/>
      <c r="J96" s="716"/>
      <c r="K96" s="716"/>
      <c r="L96" s="717"/>
    </row>
    <row r="97" spans="2:12" s="578" customFormat="1">
      <c r="B97" s="590" t="s">
        <v>839</v>
      </c>
      <c r="C97" s="589" t="s">
        <v>830</v>
      </c>
      <c r="D97" s="711" t="s">
        <v>838</v>
      </c>
      <c r="E97" s="588" t="s">
        <v>830</v>
      </c>
      <c r="F97" s="588" t="s">
        <v>830</v>
      </c>
      <c r="G97" s="588" t="s">
        <v>830</v>
      </c>
      <c r="H97" s="588" t="s">
        <v>830</v>
      </c>
      <c r="I97" s="588" t="s">
        <v>830</v>
      </c>
      <c r="J97" s="587" t="s">
        <v>837</v>
      </c>
      <c r="K97" s="587" t="s">
        <v>837</v>
      </c>
      <c r="L97" s="586" t="s">
        <v>837</v>
      </c>
    </row>
    <row r="98" spans="2:12" s="578" customFormat="1">
      <c r="B98" s="590" t="s">
        <v>836</v>
      </c>
      <c r="C98" s="589">
        <v>250</v>
      </c>
      <c r="D98" s="712"/>
      <c r="E98" s="588">
        <v>150</v>
      </c>
      <c r="F98" s="588">
        <v>200</v>
      </c>
      <c r="G98" s="588">
        <v>200</v>
      </c>
      <c r="H98" s="588">
        <v>300</v>
      </c>
      <c r="I98" s="588">
        <v>350</v>
      </c>
      <c r="J98" s="588">
        <v>400</v>
      </c>
      <c r="K98" s="588">
        <v>450</v>
      </c>
      <c r="L98" s="586">
        <v>300</v>
      </c>
    </row>
    <row r="99" spans="2:12" s="578" customFormat="1">
      <c r="B99" s="590" t="s">
        <v>835</v>
      </c>
      <c r="C99" s="589">
        <v>250</v>
      </c>
      <c r="D99" s="713"/>
      <c r="E99" s="588">
        <v>100</v>
      </c>
      <c r="F99" s="588">
        <v>150</v>
      </c>
      <c r="G99" s="588">
        <v>150</v>
      </c>
      <c r="H99" s="588">
        <v>200</v>
      </c>
      <c r="I99" s="588">
        <v>250</v>
      </c>
      <c r="J99" s="588">
        <v>250</v>
      </c>
      <c r="K99" s="588">
        <v>300</v>
      </c>
      <c r="L99" s="586">
        <v>300</v>
      </c>
    </row>
    <row r="100" spans="2:12" s="578" customFormat="1">
      <c r="B100" s="591"/>
      <c r="C100" s="714" t="s">
        <v>834</v>
      </c>
      <c r="D100" s="714"/>
      <c r="E100" s="714"/>
      <c r="F100" s="715" t="s">
        <v>869</v>
      </c>
      <c r="G100" s="716"/>
      <c r="H100" s="716"/>
      <c r="I100" s="716"/>
      <c r="J100" s="716"/>
      <c r="K100" s="716"/>
      <c r="L100" s="717"/>
    </row>
    <row r="101" spans="2:12" s="578" customFormat="1">
      <c r="B101" s="590" t="s">
        <v>832</v>
      </c>
      <c r="C101" s="589" t="s">
        <v>831</v>
      </c>
      <c r="D101" s="588" t="s">
        <v>831</v>
      </c>
      <c r="E101" s="588" t="s">
        <v>831</v>
      </c>
      <c r="F101" s="588" t="s">
        <v>831</v>
      </c>
      <c r="G101" s="588" t="s">
        <v>831</v>
      </c>
      <c r="H101" s="588" t="s">
        <v>831</v>
      </c>
      <c r="I101" s="587" t="s">
        <v>830</v>
      </c>
      <c r="J101" s="587" t="s">
        <v>830</v>
      </c>
      <c r="K101" s="587" t="s">
        <v>830</v>
      </c>
      <c r="L101" s="586" t="s">
        <v>830</v>
      </c>
    </row>
    <row r="102" spans="2:12" s="578" customFormat="1" ht="15.75" thickBot="1">
      <c r="B102" s="585" t="s">
        <v>829</v>
      </c>
      <c r="C102" s="584" t="s">
        <v>868</v>
      </c>
      <c r="D102" s="583" t="s">
        <v>867</v>
      </c>
      <c r="E102" s="583" t="s">
        <v>867</v>
      </c>
      <c r="F102" s="583" t="s">
        <v>867</v>
      </c>
      <c r="G102" s="583" t="s">
        <v>867</v>
      </c>
      <c r="H102" s="583" t="s">
        <v>867</v>
      </c>
      <c r="I102" s="583" t="s">
        <v>867</v>
      </c>
      <c r="J102" s="582" t="s">
        <v>866</v>
      </c>
      <c r="K102" s="582" t="s">
        <v>866</v>
      </c>
      <c r="L102" s="603" t="s">
        <v>866</v>
      </c>
    </row>
    <row r="103" spans="2:12" s="578" customFormat="1" ht="15.75" thickBot="1">
      <c r="B103" s="646"/>
      <c r="C103" s="718"/>
      <c r="D103" s="718"/>
      <c r="E103" s="718"/>
      <c r="F103" s="718"/>
      <c r="G103" s="718"/>
      <c r="H103" s="718"/>
      <c r="I103" s="718"/>
      <c r="J103" s="718"/>
      <c r="K103" s="718"/>
      <c r="L103" s="647"/>
    </row>
    <row r="104" spans="2:12" s="578" customFormat="1" ht="45">
      <c r="B104" s="602"/>
      <c r="C104" s="601" t="s">
        <v>865</v>
      </c>
      <c r="D104" s="600" t="s">
        <v>864</v>
      </c>
      <c r="E104" s="600" t="s">
        <v>863</v>
      </c>
      <c r="F104" s="600" t="s">
        <v>862</v>
      </c>
      <c r="G104" s="600" t="s">
        <v>861</v>
      </c>
      <c r="H104" s="600" t="s">
        <v>860</v>
      </c>
      <c r="I104" s="600" t="s">
        <v>859</v>
      </c>
      <c r="J104" s="600" t="s">
        <v>858</v>
      </c>
      <c r="K104" s="600" t="s">
        <v>857</v>
      </c>
      <c r="L104" s="599" t="s">
        <v>856</v>
      </c>
    </row>
    <row r="105" spans="2:12" s="578" customFormat="1">
      <c r="B105" s="590" t="s">
        <v>855</v>
      </c>
      <c r="C105" s="589">
        <v>3.93</v>
      </c>
      <c r="D105" s="1">
        <v>3.93</v>
      </c>
      <c r="E105" s="1">
        <v>5.6550000000000002</v>
      </c>
      <c r="F105" s="1">
        <v>10.050000000000001</v>
      </c>
      <c r="G105" s="1">
        <v>20.11</v>
      </c>
      <c r="H105" s="1">
        <v>31.42</v>
      </c>
      <c r="I105" s="1">
        <v>49.09</v>
      </c>
      <c r="J105" s="1">
        <v>61.58</v>
      </c>
      <c r="K105" s="1">
        <v>80.42</v>
      </c>
      <c r="L105" s="598">
        <v>101.79</v>
      </c>
    </row>
    <row r="106" spans="2:12" s="578" customFormat="1">
      <c r="B106" s="590" t="s">
        <v>854</v>
      </c>
      <c r="C106" s="596">
        <f>C105/(25*100)*100</f>
        <v>0.15720000000000001</v>
      </c>
      <c r="D106" s="593">
        <f>D105/(18*100)*100</f>
        <v>0.21833333333333335</v>
      </c>
      <c r="E106" s="593">
        <f t="shared" ref="E106:L106" si="5">E105/(25*100)*100</f>
        <v>0.22620000000000001</v>
      </c>
      <c r="F106" s="593">
        <f t="shared" si="5"/>
        <v>0.40200000000000002</v>
      </c>
      <c r="G106" s="593">
        <f t="shared" si="5"/>
        <v>0.80439999999999989</v>
      </c>
      <c r="H106" s="593">
        <f t="shared" si="5"/>
        <v>1.2568000000000001</v>
      </c>
      <c r="I106" s="593">
        <f t="shared" si="5"/>
        <v>1.9636</v>
      </c>
      <c r="J106" s="593">
        <f t="shared" si="5"/>
        <v>2.4631999999999996</v>
      </c>
      <c r="K106" s="593">
        <f t="shared" si="5"/>
        <v>3.2168000000000001</v>
      </c>
      <c r="L106" s="597">
        <f t="shared" si="5"/>
        <v>4.0716000000000001</v>
      </c>
    </row>
    <row r="107" spans="2:12" s="578" customFormat="1">
      <c r="B107" s="591"/>
      <c r="C107" s="714" t="s">
        <v>853</v>
      </c>
      <c r="D107" s="714"/>
      <c r="E107" s="714"/>
      <c r="F107" s="719" t="s">
        <v>852</v>
      </c>
      <c r="G107" s="716"/>
      <c r="H107" s="716"/>
      <c r="I107" s="716"/>
      <c r="J107" s="716"/>
      <c r="K107" s="716"/>
      <c r="L107" s="717"/>
    </row>
    <row r="108" spans="2:12" s="578" customFormat="1">
      <c r="B108" s="590" t="s">
        <v>851</v>
      </c>
      <c r="C108" s="596" t="s">
        <v>850</v>
      </c>
      <c r="D108" s="595" t="s">
        <v>850</v>
      </c>
      <c r="E108" s="594" t="s">
        <v>849</v>
      </c>
      <c r="F108" s="593" t="s">
        <v>849</v>
      </c>
      <c r="G108" s="721"/>
      <c r="H108" s="721"/>
      <c r="I108" s="721"/>
      <c r="J108" s="721"/>
      <c r="K108" s="721"/>
      <c r="L108" s="722"/>
    </row>
    <row r="109" spans="2:12" s="578" customFormat="1">
      <c r="B109" s="590" t="s">
        <v>848</v>
      </c>
      <c r="C109" s="596" t="s">
        <v>846</v>
      </c>
      <c r="D109" s="595" t="s">
        <v>846</v>
      </c>
      <c r="E109" s="594" t="s">
        <v>845</v>
      </c>
      <c r="F109" s="593" t="s">
        <v>845</v>
      </c>
      <c r="G109" s="721"/>
      <c r="H109" s="721"/>
      <c r="I109" s="721"/>
      <c r="J109" s="721"/>
      <c r="K109" s="721"/>
      <c r="L109" s="722"/>
    </row>
    <row r="110" spans="2:12" s="578" customFormat="1">
      <c r="B110" s="590" t="s">
        <v>847</v>
      </c>
      <c r="C110" s="596" t="s">
        <v>846</v>
      </c>
      <c r="D110" s="595" t="s">
        <v>846</v>
      </c>
      <c r="E110" s="594" t="s">
        <v>845</v>
      </c>
      <c r="F110" s="593" t="s">
        <v>845</v>
      </c>
      <c r="G110" s="721"/>
      <c r="H110" s="721"/>
      <c r="I110" s="721"/>
      <c r="J110" s="721"/>
      <c r="K110" s="721"/>
      <c r="L110" s="722"/>
    </row>
    <row r="111" spans="2:12" s="578" customFormat="1">
      <c r="B111" s="591"/>
      <c r="C111" s="714" t="s">
        <v>844</v>
      </c>
      <c r="D111" s="714"/>
      <c r="E111" s="714"/>
      <c r="F111" s="715" t="s">
        <v>843</v>
      </c>
      <c r="G111" s="716"/>
      <c r="H111" s="716"/>
      <c r="I111" s="716"/>
      <c r="J111" s="716"/>
      <c r="K111" s="716"/>
      <c r="L111" s="717"/>
    </row>
    <row r="112" spans="2:12" s="578" customFormat="1">
      <c r="B112" s="590" t="s">
        <v>839</v>
      </c>
      <c r="C112" s="589" t="s">
        <v>830</v>
      </c>
      <c r="D112" s="588" t="s">
        <v>830</v>
      </c>
      <c r="E112" s="588" t="s">
        <v>830</v>
      </c>
      <c r="F112" s="588" t="s">
        <v>830</v>
      </c>
      <c r="G112" s="588" t="s">
        <v>830</v>
      </c>
      <c r="H112" s="588" t="s">
        <v>830</v>
      </c>
      <c r="I112" s="588" t="s">
        <v>830</v>
      </c>
      <c r="J112" s="587" t="s">
        <v>837</v>
      </c>
      <c r="K112" s="587" t="s">
        <v>837</v>
      </c>
      <c r="L112" s="586" t="s">
        <v>837</v>
      </c>
    </row>
    <row r="113" spans="2:12" s="578" customFormat="1">
      <c r="B113" s="590" t="s">
        <v>836</v>
      </c>
      <c r="C113" s="589" t="s">
        <v>842</v>
      </c>
      <c r="D113" s="588">
        <v>200</v>
      </c>
      <c r="E113" s="588">
        <v>200</v>
      </c>
      <c r="F113" s="588">
        <v>300</v>
      </c>
      <c r="G113" s="588">
        <v>300</v>
      </c>
      <c r="H113" s="588">
        <v>400</v>
      </c>
      <c r="I113" s="587">
        <v>350</v>
      </c>
      <c r="J113" s="587">
        <v>400</v>
      </c>
      <c r="K113" s="587">
        <v>450</v>
      </c>
      <c r="L113" s="586">
        <v>500</v>
      </c>
    </row>
    <row r="114" spans="2:12" s="578" customFormat="1">
      <c r="B114" s="590" t="s">
        <v>835</v>
      </c>
      <c r="C114" s="589" t="s">
        <v>842</v>
      </c>
      <c r="D114" s="588">
        <v>200</v>
      </c>
      <c r="E114" s="588">
        <v>200</v>
      </c>
      <c r="F114" s="588">
        <v>300</v>
      </c>
      <c r="G114" s="588">
        <v>300</v>
      </c>
      <c r="H114" s="588">
        <v>400</v>
      </c>
      <c r="I114" s="587">
        <v>250</v>
      </c>
      <c r="J114" s="587">
        <v>250</v>
      </c>
      <c r="K114" s="587">
        <v>250</v>
      </c>
      <c r="L114" s="586">
        <v>250</v>
      </c>
    </row>
    <row r="115" spans="2:12" s="578" customFormat="1">
      <c r="B115" s="591"/>
      <c r="C115" s="714" t="s">
        <v>841</v>
      </c>
      <c r="D115" s="714"/>
      <c r="E115" s="714"/>
      <c r="F115" s="715" t="s">
        <v>840</v>
      </c>
      <c r="G115" s="716"/>
      <c r="H115" s="716"/>
      <c r="I115" s="716"/>
      <c r="J115" s="716"/>
      <c r="K115" s="716"/>
      <c r="L115" s="717"/>
    </row>
    <row r="116" spans="2:12" s="578" customFormat="1">
      <c r="B116" s="590" t="s">
        <v>839</v>
      </c>
      <c r="C116" s="589" t="s">
        <v>830</v>
      </c>
      <c r="D116" s="711" t="s">
        <v>838</v>
      </c>
      <c r="E116" s="588" t="s">
        <v>830</v>
      </c>
      <c r="F116" s="588" t="s">
        <v>830</v>
      </c>
      <c r="G116" s="588" t="s">
        <v>830</v>
      </c>
      <c r="H116" s="588" t="s">
        <v>830</v>
      </c>
      <c r="I116" s="588" t="s">
        <v>830</v>
      </c>
      <c r="J116" s="587" t="s">
        <v>837</v>
      </c>
      <c r="K116" s="587" t="s">
        <v>837</v>
      </c>
      <c r="L116" s="586" t="s">
        <v>837</v>
      </c>
    </row>
    <row r="117" spans="2:12" s="578" customFormat="1">
      <c r="B117" s="590" t="s">
        <v>836</v>
      </c>
      <c r="C117" s="589">
        <v>250</v>
      </c>
      <c r="D117" s="712"/>
      <c r="E117" s="588">
        <v>150</v>
      </c>
      <c r="F117" s="588">
        <v>200</v>
      </c>
      <c r="G117" s="588">
        <v>200</v>
      </c>
      <c r="H117" s="588">
        <v>300</v>
      </c>
      <c r="I117" s="588">
        <v>350</v>
      </c>
      <c r="J117" s="588">
        <v>400</v>
      </c>
      <c r="K117" s="587">
        <v>300</v>
      </c>
      <c r="L117" s="586">
        <v>300</v>
      </c>
    </row>
    <row r="118" spans="2:12" s="578" customFormat="1">
      <c r="B118" s="590" t="s">
        <v>835</v>
      </c>
      <c r="C118" s="589">
        <v>250</v>
      </c>
      <c r="D118" s="713"/>
      <c r="E118" s="588">
        <v>100</v>
      </c>
      <c r="F118" s="588">
        <v>150</v>
      </c>
      <c r="G118" s="588">
        <v>150</v>
      </c>
      <c r="H118" s="588">
        <v>200</v>
      </c>
      <c r="I118" s="588">
        <v>250</v>
      </c>
      <c r="J118" s="588">
        <v>250</v>
      </c>
      <c r="K118" s="587">
        <v>300</v>
      </c>
      <c r="L118" s="586">
        <v>300</v>
      </c>
    </row>
    <row r="119" spans="2:12" s="578" customFormat="1">
      <c r="B119" s="591"/>
      <c r="C119" s="714" t="s">
        <v>834</v>
      </c>
      <c r="D119" s="714"/>
      <c r="E119" s="714"/>
      <c r="F119" s="715" t="s">
        <v>833</v>
      </c>
      <c r="G119" s="716"/>
      <c r="H119" s="716"/>
      <c r="I119" s="716"/>
      <c r="J119" s="716"/>
      <c r="K119" s="716"/>
      <c r="L119" s="717"/>
    </row>
    <row r="120" spans="2:12" s="578" customFormat="1">
      <c r="B120" s="590" t="s">
        <v>832</v>
      </c>
      <c r="C120" s="589" t="s">
        <v>831</v>
      </c>
      <c r="D120" s="588" t="s">
        <v>831</v>
      </c>
      <c r="E120" s="588" t="s">
        <v>831</v>
      </c>
      <c r="F120" s="588" t="s">
        <v>831</v>
      </c>
      <c r="G120" s="588" t="s">
        <v>831</v>
      </c>
      <c r="H120" s="588" t="s">
        <v>831</v>
      </c>
      <c r="I120" s="587" t="s">
        <v>830</v>
      </c>
      <c r="J120" s="587" t="s">
        <v>830</v>
      </c>
      <c r="K120" s="587" t="s">
        <v>830</v>
      </c>
      <c r="L120" s="586" t="s">
        <v>830</v>
      </c>
    </row>
    <row r="121" spans="2:12" s="578" customFormat="1" ht="15.75" thickBot="1">
      <c r="B121" s="585" t="s">
        <v>829</v>
      </c>
      <c r="C121" s="584" t="s">
        <v>828</v>
      </c>
      <c r="D121" s="583" t="s">
        <v>827</v>
      </c>
      <c r="E121" s="583" t="s">
        <v>827</v>
      </c>
      <c r="F121" s="583" t="s">
        <v>827</v>
      </c>
      <c r="G121" s="583" t="s">
        <v>827</v>
      </c>
      <c r="H121" s="583" t="s">
        <v>827</v>
      </c>
      <c r="I121" s="582" t="s">
        <v>826</v>
      </c>
      <c r="J121" s="582" t="s">
        <v>826</v>
      </c>
      <c r="K121" s="582" t="s">
        <v>826</v>
      </c>
      <c r="L121" s="582" t="s">
        <v>826</v>
      </c>
    </row>
    <row r="122" spans="2:12" s="578" customFormat="1"/>
    <row r="123" spans="2:12" s="578" customFormat="1" ht="15.75" thickBot="1"/>
    <row r="124" spans="2:12" s="578" customFormat="1" ht="15.75" thickBot="1">
      <c r="L124" s="604" t="s">
        <v>886</v>
      </c>
    </row>
    <row r="125" spans="2:12" s="578" customFormat="1" ht="45">
      <c r="B125" s="602"/>
      <c r="C125" s="601" t="s">
        <v>883</v>
      </c>
      <c r="D125" s="600" t="s">
        <v>882</v>
      </c>
      <c r="E125" s="600" t="s">
        <v>881</v>
      </c>
      <c r="F125" s="600" t="s">
        <v>880</v>
      </c>
      <c r="G125" s="600" t="s">
        <v>879</v>
      </c>
      <c r="H125" s="600" t="s">
        <v>878</v>
      </c>
      <c r="I125" s="600" t="s">
        <v>877</v>
      </c>
      <c r="J125" s="600" t="s">
        <v>876</v>
      </c>
      <c r="K125" s="600" t="s">
        <v>875</v>
      </c>
      <c r="L125" s="599" t="s">
        <v>874</v>
      </c>
    </row>
    <row r="126" spans="2:12" s="578" customFormat="1">
      <c r="B126" s="590" t="s">
        <v>855</v>
      </c>
      <c r="C126" s="589">
        <v>3.14</v>
      </c>
      <c r="D126" s="1">
        <v>3.14</v>
      </c>
      <c r="E126" s="1">
        <v>4.5199999999999996</v>
      </c>
      <c r="F126" s="1">
        <v>8.0399999999999991</v>
      </c>
      <c r="G126" s="1">
        <v>16.079999999999998</v>
      </c>
      <c r="H126" s="1">
        <v>25.13</v>
      </c>
      <c r="I126" s="1">
        <v>39.270000000000003</v>
      </c>
      <c r="J126" s="1">
        <v>49.26</v>
      </c>
      <c r="K126" s="1">
        <v>64.34</v>
      </c>
      <c r="L126" s="598">
        <v>81.430000000000007</v>
      </c>
    </row>
    <row r="127" spans="2:12" s="578" customFormat="1">
      <c r="B127" s="590" t="s">
        <v>854</v>
      </c>
      <c r="C127" s="596">
        <f>C126/(30*100)*100</f>
        <v>0.10466666666666667</v>
      </c>
      <c r="D127" s="593">
        <f>D126/(18*100)*100</f>
        <v>0.17444444444444446</v>
      </c>
      <c r="E127" s="593">
        <f t="shared" ref="E127:L127" si="6">E126/(30*100)*100</f>
        <v>0.15066666666666667</v>
      </c>
      <c r="F127" s="593">
        <f t="shared" si="6"/>
        <v>0.26799999999999996</v>
      </c>
      <c r="G127" s="593">
        <f t="shared" si="6"/>
        <v>0.53599999999999992</v>
      </c>
      <c r="H127" s="593">
        <f t="shared" si="6"/>
        <v>0.83766666666666656</v>
      </c>
      <c r="I127" s="593">
        <f t="shared" si="6"/>
        <v>1.3090000000000002</v>
      </c>
      <c r="J127" s="593">
        <f t="shared" si="6"/>
        <v>1.6420000000000001</v>
      </c>
      <c r="K127" s="593">
        <f t="shared" si="6"/>
        <v>2.1446666666666667</v>
      </c>
      <c r="L127" s="597">
        <f t="shared" si="6"/>
        <v>2.7143333333333337</v>
      </c>
    </row>
    <row r="128" spans="2:12" s="578" customFormat="1">
      <c r="B128" s="591"/>
      <c r="C128" s="714" t="s">
        <v>853</v>
      </c>
      <c r="D128" s="714"/>
      <c r="E128" s="714"/>
      <c r="F128" s="719" t="s">
        <v>852</v>
      </c>
      <c r="G128" s="716"/>
      <c r="H128" s="716"/>
      <c r="I128" s="716"/>
      <c r="J128" s="716"/>
      <c r="K128" s="716"/>
      <c r="L128" s="717"/>
    </row>
    <row r="129" spans="2:12" s="578" customFormat="1">
      <c r="B129" s="590" t="s">
        <v>851</v>
      </c>
      <c r="C129" s="596" t="s">
        <v>873</v>
      </c>
      <c r="D129" s="595" t="s">
        <v>873</v>
      </c>
      <c r="E129" s="594" t="s">
        <v>872</v>
      </c>
      <c r="F129" s="594" t="s">
        <v>872</v>
      </c>
      <c r="G129" s="720"/>
      <c r="H129" s="721"/>
      <c r="I129" s="721"/>
      <c r="J129" s="721"/>
      <c r="K129" s="721"/>
      <c r="L129" s="722"/>
    </row>
    <row r="130" spans="2:12" s="578" customFormat="1">
      <c r="B130" s="590" t="s">
        <v>848</v>
      </c>
      <c r="C130" s="596" t="s">
        <v>871</v>
      </c>
      <c r="D130" s="595" t="s">
        <v>871</v>
      </c>
      <c r="E130" s="594" t="s">
        <v>870</v>
      </c>
      <c r="F130" s="594" t="s">
        <v>870</v>
      </c>
      <c r="G130" s="720"/>
      <c r="H130" s="721"/>
      <c r="I130" s="721"/>
      <c r="J130" s="721"/>
      <c r="K130" s="721"/>
      <c r="L130" s="722"/>
    </row>
    <row r="131" spans="2:12" s="578" customFormat="1">
      <c r="B131" s="590" t="s">
        <v>847</v>
      </c>
      <c r="C131" s="596" t="s">
        <v>871</v>
      </c>
      <c r="D131" s="595" t="s">
        <v>871</v>
      </c>
      <c r="E131" s="594" t="s">
        <v>870</v>
      </c>
      <c r="F131" s="594" t="s">
        <v>870</v>
      </c>
      <c r="G131" s="720"/>
      <c r="H131" s="721"/>
      <c r="I131" s="721"/>
      <c r="J131" s="721"/>
      <c r="K131" s="721"/>
      <c r="L131" s="722"/>
    </row>
    <row r="132" spans="2:12" s="578" customFormat="1">
      <c r="B132" s="591"/>
      <c r="C132" s="714" t="s">
        <v>844</v>
      </c>
      <c r="D132" s="714"/>
      <c r="E132" s="714"/>
      <c r="F132" s="715" t="s">
        <v>843</v>
      </c>
      <c r="G132" s="716"/>
      <c r="H132" s="716"/>
      <c r="I132" s="716"/>
      <c r="J132" s="716"/>
      <c r="K132" s="716"/>
      <c r="L132" s="717"/>
    </row>
    <row r="133" spans="2:12" s="578" customFormat="1">
      <c r="B133" s="590" t="s">
        <v>839</v>
      </c>
      <c r="C133" s="589" t="s">
        <v>830</v>
      </c>
      <c r="D133" s="588" t="s">
        <v>830</v>
      </c>
      <c r="E133" s="588" t="s">
        <v>830</v>
      </c>
      <c r="F133" s="588" t="s">
        <v>830</v>
      </c>
      <c r="G133" s="588" t="s">
        <v>830</v>
      </c>
      <c r="H133" s="588" t="s">
        <v>830</v>
      </c>
      <c r="I133" s="588" t="s">
        <v>830</v>
      </c>
      <c r="J133" s="587" t="s">
        <v>837</v>
      </c>
      <c r="K133" s="587" t="s">
        <v>837</v>
      </c>
      <c r="L133" s="586" t="s">
        <v>837</v>
      </c>
    </row>
    <row r="134" spans="2:12" s="578" customFormat="1">
      <c r="B134" s="590" t="s">
        <v>836</v>
      </c>
      <c r="C134" s="589" t="s">
        <v>842</v>
      </c>
      <c r="D134" s="588">
        <v>200</v>
      </c>
      <c r="E134" s="588">
        <v>200</v>
      </c>
      <c r="F134" s="588">
        <v>300</v>
      </c>
      <c r="G134" s="588">
        <v>300</v>
      </c>
      <c r="H134" s="588">
        <v>400</v>
      </c>
      <c r="I134" s="588">
        <v>500</v>
      </c>
      <c r="J134" s="588">
        <v>550</v>
      </c>
      <c r="K134" s="587">
        <v>450</v>
      </c>
      <c r="L134" s="586">
        <v>500</v>
      </c>
    </row>
    <row r="135" spans="2:12" s="578" customFormat="1">
      <c r="B135" s="590" t="s">
        <v>835</v>
      </c>
      <c r="C135" s="589" t="s">
        <v>842</v>
      </c>
      <c r="D135" s="588">
        <v>200</v>
      </c>
      <c r="E135" s="588">
        <v>200</v>
      </c>
      <c r="F135" s="588">
        <v>300</v>
      </c>
      <c r="G135" s="588">
        <v>300</v>
      </c>
      <c r="H135" s="588">
        <v>400</v>
      </c>
      <c r="I135" s="588">
        <v>500</v>
      </c>
      <c r="J135" s="588">
        <v>550</v>
      </c>
      <c r="K135" s="587">
        <v>250</v>
      </c>
      <c r="L135" s="586">
        <v>250</v>
      </c>
    </row>
    <row r="136" spans="2:12" s="578" customFormat="1">
      <c r="B136" s="591"/>
      <c r="C136" s="714" t="s">
        <v>841</v>
      </c>
      <c r="D136" s="714"/>
      <c r="E136" s="714"/>
      <c r="F136" s="715" t="s">
        <v>840</v>
      </c>
      <c r="G136" s="716"/>
      <c r="H136" s="716"/>
      <c r="I136" s="716"/>
      <c r="J136" s="716"/>
      <c r="K136" s="716"/>
      <c r="L136" s="717"/>
    </row>
    <row r="137" spans="2:12" s="578" customFormat="1">
      <c r="B137" s="590" t="s">
        <v>839</v>
      </c>
      <c r="C137" s="589" t="s">
        <v>830</v>
      </c>
      <c r="D137" s="711" t="s">
        <v>838</v>
      </c>
      <c r="E137" s="588" t="s">
        <v>830</v>
      </c>
      <c r="F137" s="588" t="s">
        <v>830</v>
      </c>
      <c r="G137" s="588" t="s">
        <v>830</v>
      </c>
      <c r="H137" s="588" t="s">
        <v>830</v>
      </c>
      <c r="I137" s="588" t="s">
        <v>830</v>
      </c>
      <c r="J137" s="587" t="s">
        <v>837</v>
      </c>
      <c r="K137" s="587" t="s">
        <v>837</v>
      </c>
      <c r="L137" s="586" t="s">
        <v>837</v>
      </c>
    </row>
    <row r="138" spans="2:12" s="578" customFormat="1">
      <c r="B138" s="590" t="s">
        <v>836</v>
      </c>
      <c r="C138" s="589">
        <v>250</v>
      </c>
      <c r="D138" s="712"/>
      <c r="E138" s="588">
        <v>150</v>
      </c>
      <c r="F138" s="588">
        <v>200</v>
      </c>
      <c r="G138" s="588">
        <v>200</v>
      </c>
      <c r="H138" s="588">
        <v>300</v>
      </c>
      <c r="I138" s="588">
        <v>350</v>
      </c>
      <c r="J138" s="588">
        <v>400</v>
      </c>
      <c r="K138" s="588">
        <v>450</v>
      </c>
      <c r="L138" s="592">
        <v>500</v>
      </c>
    </row>
    <row r="139" spans="2:12" s="578" customFormat="1">
      <c r="B139" s="590" t="s">
        <v>835</v>
      </c>
      <c r="C139" s="589">
        <v>250</v>
      </c>
      <c r="D139" s="713"/>
      <c r="E139" s="588">
        <v>100</v>
      </c>
      <c r="F139" s="588">
        <v>150</v>
      </c>
      <c r="G139" s="588">
        <v>150</v>
      </c>
      <c r="H139" s="588">
        <v>200</v>
      </c>
      <c r="I139" s="588">
        <v>250</v>
      </c>
      <c r="J139" s="588">
        <v>250</v>
      </c>
      <c r="K139" s="588">
        <v>300</v>
      </c>
      <c r="L139" s="592">
        <v>300</v>
      </c>
    </row>
    <row r="140" spans="2:12" s="578" customFormat="1">
      <c r="B140" s="591"/>
      <c r="C140" s="714" t="s">
        <v>834</v>
      </c>
      <c r="D140" s="714"/>
      <c r="E140" s="714"/>
      <c r="F140" s="715" t="s">
        <v>869</v>
      </c>
      <c r="G140" s="716"/>
      <c r="H140" s="716"/>
      <c r="I140" s="716"/>
      <c r="J140" s="716"/>
      <c r="K140" s="716"/>
      <c r="L140" s="717"/>
    </row>
    <row r="141" spans="2:12" s="578" customFormat="1">
      <c r="B141" s="590" t="s">
        <v>832</v>
      </c>
      <c r="C141" s="589" t="s">
        <v>831</v>
      </c>
      <c r="D141" s="588" t="s">
        <v>831</v>
      </c>
      <c r="E141" s="588" t="s">
        <v>831</v>
      </c>
      <c r="F141" s="588" t="s">
        <v>831</v>
      </c>
      <c r="G141" s="588" t="s">
        <v>831</v>
      </c>
      <c r="H141" s="588" t="s">
        <v>831</v>
      </c>
      <c r="I141" s="587" t="s">
        <v>830</v>
      </c>
      <c r="J141" s="587" t="s">
        <v>830</v>
      </c>
      <c r="K141" s="587" t="s">
        <v>830</v>
      </c>
      <c r="L141" s="586" t="s">
        <v>830</v>
      </c>
    </row>
    <row r="142" spans="2:12" s="578" customFormat="1" ht="15.75" thickBot="1">
      <c r="B142" s="585" t="s">
        <v>829</v>
      </c>
      <c r="C142" s="584" t="s">
        <v>868</v>
      </c>
      <c r="D142" s="583" t="s">
        <v>867</v>
      </c>
      <c r="E142" s="583" t="s">
        <v>867</v>
      </c>
      <c r="F142" s="583" t="s">
        <v>867</v>
      </c>
      <c r="G142" s="583" t="s">
        <v>867</v>
      </c>
      <c r="H142" s="583" t="s">
        <v>867</v>
      </c>
      <c r="I142" s="583" t="s">
        <v>867</v>
      </c>
      <c r="J142" s="583" t="s">
        <v>867</v>
      </c>
      <c r="K142" s="582" t="s">
        <v>866</v>
      </c>
      <c r="L142" s="603" t="s">
        <v>866</v>
      </c>
    </row>
    <row r="143" spans="2:12" s="578" customFormat="1" ht="15.75" thickBot="1">
      <c r="B143" s="646"/>
      <c r="C143" s="718"/>
      <c r="D143" s="718"/>
      <c r="E143" s="718"/>
      <c r="F143" s="718"/>
      <c r="G143" s="718"/>
      <c r="H143" s="718"/>
      <c r="I143" s="718"/>
      <c r="J143" s="718"/>
      <c r="K143" s="718"/>
      <c r="L143" s="647"/>
    </row>
    <row r="144" spans="2:12" s="578" customFormat="1" ht="45">
      <c r="B144" s="602"/>
      <c r="C144" s="601" t="s">
        <v>865</v>
      </c>
      <c r="D144" s="600" t="s">
        <v>864</v>
      </c>
      <c r="E144" s="600" t="s">
        <v>863</v>
      </c>
      <c r="F144" s="600" t="s">
        <v>862</v>
      </c>
      <c r="G144" s="600" t="s">
        <v>861</v>
      </c>
      <c r="H144" s="600" t="s">
        <v>860</v>
      </c>
      <c r="I144" s="600" t="s">
        <v>859</v>
      </c>
      <c r="J144" s="600" t="s">
        <v>858</v>
      </c>
      <c r="K144" s="600" t="s">
        <v>857</v>
      </c>
      <c r="L144" s="599" t="s">
        <v>856</v>
      </c>
    </row>
    <row r="145" spans="2:12" s="578" customFormat="1">
      <c r="B145" s="590" t="s">
        <v>855</v>
      </c>
      <c r="C145" s="589">
        <v>3.93</v>
      </c>
      <c r="D145" s="1">
        <v>3.93</v>
      </c>
      <c r="E145" s="1">
        <v>5.6550000000000002</v>
      </c>
      <c r="F145" s="1">
        <v>10.050000000000001</v>
      </c>
      <c r="G145" s="1">
        <v>20.11</v>
      </c>
      <c r="H145" s="1">
        <v>31.42</v>
      </c>
      <c r="I145" s="1">
        <v>49.09</v>
      </c>
      <c r="J145" s="1">
        <v>61.58</v>
      </c>
      <c r="K145" s="1">
        <v>80.42</v>
      </c>
      <c r="L145" s="598">
        <v>101.79</v>
      </c>
    </row>
    <row r="146" spans="2:12" s="578" customFormat="1">
      <c r="B146" s="590" t="s">
        <v>854</v>
      </c>
      <c r="C146" s="596">
        <f>C145/(30*100)*100</f>
        <v>0.13100000000000001</v>
      </c>
      <c r="D146" s="593">
        <f>D145/(18*100)*100</f>
        <v>0.21833333333333335</v>
      </c>
      <c r="E146" s="593">
        <f t="shared" ref="E146:L146" si="7">E145/(30*100)*100</f>
        <v>0.18850000000000003</v>
      </c>
      <c r="F146" s="593">
        <f t="shared" si="7"/>
        <v>0.33500000000000002</v>
      </c>
      <c r="G146" s="593">
        <f t="shared" si="7"/>
        <v>0.67033333333333334</v>
      </c>
      <c r="H146" s="593">
        <f t="shared" si="7"/>
        <v>1.0473333333333334</v>
      </c>
      <c r="I146" s="593">
        <f t="shared" si="7"/>
        <v>1.6363333333333334</v>
      </c>
      <c r="J146" s="593">
        <f t="shared" si="7"/>
        <v>2.0526666666666666</v>
      </c>
      <c r="K146" s="593">
        <f t="shared" si="7"/>
        <v>2.6806666666666668</v>
      </c>
      <c r="L146" s="597">
        <f t="shared" si="7"/>
        <v>3.3930000000000002</v>
      </c>
    </row>
    <row r="147" spans="2:12" s="578" customFormat="1">
      <c r="B147" s="591"/>
      <c r="C147" s="714" t="s">
        <v>853</v>
      </c>
      <c r="D147" s="714"/>
      <c r="E147" s="714"/>
      <c r="F147" s="719" t="s">
        <v>852</v>
      </c>
      <c r="G147" s="716"/>
      <c r="H147" s="716"/>
      <c r="I147" s="716"/>
      <c r="J147" s="716"/>
      <c r="K147" s="716"/>
      <c r="L147" s="717"/>
    </row>
    <row r="148" spans="2:12" s="578" customFormat="1">
      <c r="B148" s="590" t="s">
        <v>851</v>
      </c>
      <c r="C148" s="596" t="s">
        <v>850</v>
      </c>
      <c r="D148" s="595" t="s">
        <v>850</v>
      </c>
      <c r="E148" s="594" t="s">
        <v>849</v>
      </c>
      <c r="F148" s="593" t="s">
        <v>849</v>
      </c>
      <c r="G148" s="721"/>
      <c r="H148" s="721"/>
      <c r="I148" s="721"/>
      <c r="J148" s="721"/>
      <c r="K148" s="721"/>
      <c r="L148" s="722"/>
    </row>
    <row r="149" spans="2:12" s="578" customFormat="1">
      <c r="B149" s="590" t="s">
        <v>848</v>
      </c>
      <c r="C149" s="596" t="s">
        <v>846</v>
      </c>
      <c r="D149" s="595" t="s">
        <v>846</v>
      </c>
      <c r="E149" s="594" t="s">
        <v>845</v>
      </c>
      <c r="F149" s="593" t="s">
        <v>845</v>
      </c>
      <c r="G149" s="721"/>
      <c r="H149" s="721"/>
      <c r="I149" s="721"/>
      <c r="J149" s="721"/>
      <c r="K149" s="721"/>
      <c r="L149" s="722"/>
    </row>
    <row r="150" spans="2:12" s="578" customFormat="1">
      <c r="B150" s="590" t="s">
        <v>847</v>
      </c>
      <c r="C150" s="596" t="s">
        <v>846</v>
      </c>
      <c r="D150" s="595" t="s">
        <v>846</v>
      </c>
      <c r="E150" s="594" t="s">
        <v>845</v>
      </c>
      <c r="F150" s="593" t="s">
        <v>845</v>
      </c>
      <c r="G150" s="721"/>
      <c r="H150" s="721"/>
      <c r="I150" s="721"/>
      <c r="J150" s="721"/>
      <c r="K150" s="721"/>
      <c r="L150" s="722"/>
    </row>
    <row r="151" spans="2:12" s="578" customFormat="1">
      <c r="B151" s="591"/>
      <c r="C151" s="714" t="s">
        <v>844</v>
      </c>
      <c r="D151" s="714"/>
      <c r="E151" s="714"/>
      <c r="F151" s="715" t="s">
        <v>843</v>
      </c>
      <c r="G151" s="716"/>
      <c r="H151" s="716"/>
      <c r="I151" s="716"/>
      <c r="J151" s="716"/>
      <c r="K151" s="716"/>
      <c r="L151" s="717"/>
    </row>
    <row r="152" spans="2:12" s="578" customFormat="1">
      <c r="B152" s="590" t="s">
        <v>839</v>
      </c>
      <c r="C152" s="589" t="s">
        <v>830</v>
      </c>
      <c r="D152" s="588" t="s">
        <v>830</v>
      </c>
      <c r="E152" s="588" t="s">
        <v>830</v>
      </c>
      <c r="F152" s="588" t="s">
        <v>830</v>
      </c>
      <c r="G152" s="588" t="s">
        <v>830</v>
      </c>
      <c r="H152" s="588" t="s">
        <v>830</v>
      </c>
      <c r="I152" s="588" t="s">
        <v>830</v>
      </c>
      <c r="J152" s="587" t="s">
        <v>837</v>
      </c>
      <c r="K152" s="587" t="s">
        <v>837</v>
      </c>
      <c r="L152" s="586" t="s">
        <v>837</v>
      </c>
    </row>
    <row r="153" spans="2:12" s="578" customFormat="1">
      <c r="B153" s="590" t="s">
        <v>836</v>
      </c>
      <c r="C153" s="589" t="s">
        <v>842</v>
      </c>
      <c r="D153" s="588">
        <v>200</v>
      </c>
      <c r="E153" s="588">
        <v>200</v>
      </c>
      <c r="F153" s="588">
        <v>300</v>
      </c>
      <c r="G153" s="588">
        <v>300</v>
      </c>
      <c r="H153" s="588">
        <v>400</v>
      </c>
      <c r="I153" s="588">
        <v>500</v>
      </c>
      <c r="J153" s="587">
        <v>400</v>
      </c>
      <c r="K153" s="587">
        <v>450</v>
      </c>
      <c r="L153" s="586">
        <v>500</v>
      </c>
    </row>
    <row r="154" spans="2:12" s="578" customFormat="1">
      <c r="B154" s="590" t="s">
        <v>835</v>
      </c>
      <c r="C154" s="589" t="s">
        <v>842</v>
      </c>
      <c r="D154" s="588">
        <v>200</v>
      </c>
      <c r="E154" s="588">
        <v>200</v>
      </c>
      <c r="F154" s="588">
        <v>300</v>
      </c>
      <c r="G154" s="588">
        <v>300</v>
      </c>
      <c r="H154" s="588">
        <v>400</v>
      </c>
      <c r="I154" s="588">
        <v>500</v>
      </c>
      <c r="J154" s="587">
        <v>250</v>
      </c>
      <c r="K154" s="587">
        <v>250</v>
      </c>
      <c r="L154" s="586">
        <v>250</v>
      </c>
    </row>
    <row r="155" spans="2:12" s="578" customFormat="1">
      <c r="B155" s="591"/>
      <c r="C155" s="714" t="s">
        <v>841</v>
      </c>
      <c r="D155" s="714"/>
      <c r="E155" s="714"/>
      <c r="F155" s="715" t="s">
        <v>840</v>
      </c>
      <c r="G155" s="716"/>
      <c r="H155" s="716"/>
      <c r="I155" s="716"/>
      <c r="J155" s="716"/>
      <c r="K155" s="716"/>
      <c r="L155" s="717"/>
    </row>
    <row r="156" spans="2:12" s="578" customFormat="1">
      <c r="B156" s="590" t="s">
        <v>839</v>
      </c>
      <c r="C156" s="589" t="s">
        <v>830</v>
      </c>
      <c r="D156" s="711" t="s">
        <v>838</v>
      </c>
      <c r="E156" s="588" t="s">
        <v>830</v>
      </c>
      <c r="F156" s="588" t="s">
        <v>830</v>
      </c>
      <c r="G156" s="588" t="s">
        <v>830</v>
      </c>
      <c r="H156" s="588" t="s">
        <v>830</v>
      </c>
      <c r="I156" s="588" t="s">
        <v>830</v>
      </c>
      <c r="J156" s="587" t="s">
        <v>837</v>
      </c>
      <c r="K156" s="587" t="s">
        <v>837</v>
      </c>
      <c r="L156" s="586" t="s">
        <v>837</v>
      </c>
    </row>
    <row r="157" spans="2:12" s="578" customFormat="1">
      <c r="B157" s="590" t="s">
        <v>836</v>
      </c>
      <c r="C157" s="589">
        <v>250</v>
      </c>
      <c r="D157" s="712"/>
      <c r="E157" s="588">
        <v>150</v>
      </c>
      <c r="F157" s="588">
        <v>200</v>
      </c>
      <c r="G157" s="588">
        <v>200</v>
      </c>
      <c r="H157" s="588">
        <v>300</v>
      </c>
      <c r="I157" s="588">
        <v>350</v>
      </c>
      <c r="J157" s="588">
        <v>400</v>
      </c>
      <c r="K157" s="588">
        <v>450</v>
      </c>
      <c r="L157" s="586">
        <v>300</v>
      </c>
    </row>
    <row r="158" spans="2:12" s="578" customFormat="1">
      <c r="B158" s="590" t="s">
        <v>835</v>
      </c>
      <c r="C158" s="589">
        <v>250</v>
      </c>
      <c r="D158" s="713"/>
      <c r="E158" s="588">
        <v>100</v>
      </c>
      <c r="F158" s="588">
        <v>150</v>
      </c>
      <c r="G158" s="588">
        <v>150</v>
      </c>
      <c r="H158" s="588">
        <v>200</v>
      </c>
      <c r="I158" s="588">
        <v>250</v>
      </c>
      <c r="J158" s="588">
        <v>250</v>
      </c>
      <c r="K158" s="588">
        <v>300</v>
      </c>
      <c r="L158" s="586">
        <v>300</v>
      </c>
    </row>
    <row r="159" spans="2:12" s="578" customFormat="1">
      <c r="B159" s="591"/>
      <c r="C159" s="714" t="s">
        <v>834</v>
      </c>
      <c r="D159" s="714"/>
      <c r="E159" s="714"/>
      <c r="F159" s="715" t="s">
        <v>833</v>
      </c>
      <c r="G159" s="716"/>
      <c r="H159" s="716"/>
      <c r="I159" s="716"/>
      <c r="J159" s="716"/>
      <c r="K159" s="716"/>
      <c r="L159" s="717"/>
    </row>
    <row r="160" spans="2:12" s="578" customFormat="1">
      <c r="B160" s="590" t="s">
        <v>832</v>
      </c>
      <c r="C160" s="589" t="s">
        <v>831</v>
      </c>
      <c r="D160" s="588" t="s">
        <v>831</v>
      </c>
      <c r="E160" s="588" t="s">
        <v>831</v>
      </c>
      <c r="F160" s="588" t="s">
        <v>831</v>
      </c>
      <c r="G160" s="588" t="s">
        <v>831</v>
      </c>
      <c r="H160" s="588" t="s">
        <v>831</v>
      </c>
      <c r="I160" s="587" t="s">
        <v>830</v>
      </c>
      <c r="J160" s="587" t="s">
        <v>830</v>
      </c>
      <c r="K160" s="587" t="s">
        <v>830</v>
      </c>
      <c r="L160" s="586" t="s">
        <v>830</v>
      </c>
    </row>
    <row r="161" spans="2:12" s="578" customFormat="1" ht="15.75" thickBot="1">
      <c r="B161" s="585" t="s">
        <v>829</v>
      </c>
      <c r="C161" s="584" t="s">
        <v>828</v>
      </c>
      <c r="D161" s="583" t="s">
        <v>827</v>
      </c>
      <c r="E161" s="583" t="s">
        <v>827</v>
      </c>
      <c r="F161" s="583" t="s">
        <v>827</v>
      </c>
      <c r="G161" s="583" t="s">
        <v>827</v>
      </c>
      <c r="H161" s="583" t="s">
        <v>827</v>
      </c>
      <c r="I161" s="583" t="s">
        <v>827</v>
      </c>
      <c r="J161" s="582" t="s">
        <v>826</v>
      </c>
      <c r="K161" s="582" t="s">
        <v>826</v>
      </c>
      <c r="L161" s="582" t="s">
        <v>826</v>
      </c>
    </row>
    <row r="162" spans="2:12" s="578" customFormat="1"/>
    <row r="163" spans="2:12" s="578" customFormat="1"/>
    <row r="164" spans="2:12" s="578" customFormat="1" ht="15.75" thickBot="1"/>
    <row r="165" spans="2:12" s="578" customFormat="1" ht="15.75" thickBot="1">
      <c r="L165" s="604" t="s">
        <v>885</v>
      </c>
    </row>
    <row r="166" spans="2:12" s="578" customFormat="1" ht="45">
      <c r="B166" s="602"/>
      <c r="C166" s="601" t="s">
        <v>883</v>
      </c>
      <c r="D166" s="600" t="s">
        <v>882</v>
      </c>
      <c r="E166" s="600" t="s">
        <v>881</v>
      </c>
      <c r="F166" s="600" t="s">
        <v>880</v>
      </c>
      <c r="G166" s="600" t="s">
        <v>879</v>
      </c>
      <c r="H166" s="600" t="s">
        <v>878</v>
      </c>
      <c r="I166" s="600" t="s">
        <v>877</v>
      </c>
      <c r="J166" s="600" t="s">
        <v>876</v>
      </c>
      <c r="K166" s="600" t="s">
        <v>875</v>
      </c>
      <c r="L166" s="599" t="s">
        <v>874</v>
      </c>
    </row>
    <row r="167" spans="2:12" s="578" customFormat="1">
      <c r="B167" s="590" t="s">
        <v>855</v>
      </c>
      <c r="C167" s="589">
        <v>3.14</v>
      </c>
      <c r="D167" s="1">
        <v>3.14</v>
      </c>
      <c r="E167" s="1">
        <v>4.5199999999999996</v>
      </c>
      <c r="F167" s="1">
        <v>8.0399999999999991</v>
      </c>
      <c r="G167" s="1">
        <v>16.079999999999998</v>
      </c>
      <c r="H167" s="1">
        <v>25.13</v>
      </c>
      <c r="I167" s="1">
        <v>39.270000000000003</v>
      </c>
      <c r="J167" s="1">
        <v>49.26</v>
      </c>
      <c r="K167" s="1">
        <v>64.34</v>
      </c>
      <c r="L167" s="598">
        <v>81.430000000000007</v>
      </c>
    </row>
    <row r="168" spans="2:12" s="578" customFormat="1">
      <c r="B168" s="590" t="s">
        <v>854</v>
      </c>
      <c r="C168" s="596">
        <f>C167/(35*100)*100</f>
        <v>8.9714285714285719E-2</v>
      </c>
      <c r="D168" s="593">
        <f>D167/(18*100)*100</f>
        <v>0.17444444444444446</v>
      </c>
      <c r="E168" s="593">
        <f t="shared" ref="E168:L168" si="8">E167/(35*100)*100</f>
        <v>0.12914285714285714</v>
      </c>
      <c r="F168" s="593">
        <f t="shared" si="8"/>
        <v>0.2297142857142857</v>
      </c>
      <c r="G168" s="593">
        <f t="shared" si="8"/>
        <v>0.45942857142857141</v>
      </c>
      <c r="H168" s="593">
        <f t="shared" si="8"/>
        <v>0.71799999999999997</v>
      </c>
      <c r="I168" s="593">
        <f t="shared" si="8"/>
        <v>1.1220000000000001</v>
      </c>
      <c r="J168" s="593">
        <f t="shared" si="8"/>
        <v>1.4074285714285715</v>
      </c>
      <c r="K168" s="593">
        <f t="shared" si="8"/>
        <v>1.8382857142857145</v>
      </c>
      <c r="L168" s="597">
        <f t="shared" si="8"/>
        <v>2.326571428571429</v>
      </c>
    </row>
    <row r="169" spans="2:12" s="578" customFormat="1">
      <c r="B169" s="591"/>
      <c r="C169" s="714" t="s">
        <v>853</v>
      </c>
      <c r="D169" s="714"/>
      <c r="E169" s="714"/>
      <c r="F169" s="719" t="s">
        <v>852</v>
      </c>
      <c r="G169" s="716"/>
      <c r="H169" s="716"/>
      <c r="I169" s="716"/>
      <c r="J169" s="716"/>
      <c r="K169" s="716"/>
      <c r="L169" s="717"/>
    </row>
    <row r="170" spans="2:12" s="578" customFormat="1">
      <c r="B170" s="590" t="s">
        <v>851</v>
      </c>
      <c r="C170" s="596" t="s">
        <v>873</v>
      </c>
      <c r="D170" s="595" t="s">
        <v>873</v>
      </c>
      <c r="E170" s="594" t="s">
        <v>872</v>
      </c>
      <c r="F170" s="594" t="s">
        <v>872</v>
      </c>
      <c r="G170" s="720"/>
      <c r="H170" s="721"/>
      <c r="I170" s="721"/>
      <c r="J170" s="721"/>
      <c r="K170" s="721"/>
      <c r="L170" s="722"/>
    </row>
    <row r="171" spans="2:12" s="578" customFormat="1">
      <c r="B171" s="590" t="s">
        <v>848</v>
      </c>
      <c r="C171" s="596" t="s">
        <v>871</v>
      </c>
      <c r="D171" s="595" t="s">
        <v>871</v>
      </c>
      <c r="E171" s="594" t="s">
        <v>870</v>
      </c>
      <c r="F171" s="594" t="s">
        <v>870</v>
      </c>
      <c r="G171" s="720"/>
      <c r="H171" s="721"/>
      <c r="I171" s="721"/>
      <c r="J171" s="721"/>
      <c r="K171" s="721"/>
      <c r="L171" s="722"/>
    </row>
    <row r="172" spans="2:12" s="578" customFormat="1">
      <c r="B172" s="590" t="s">
        <v>847</v>
      </c>
      <c r="C172" s="596" t="s">
        <v>871</v>
      </c>
      <c r="D172" s="595" t="s">
        <v>871</v>
      </c>
      <c r="E172" s="594" t="s">
        <v>870</v>
      </c>
      <c r="F172" s="594" t="s">
        <v>870</v>
      </c>
      <c r="G172" s="720"/>
      <c r="H172" s="721"/>
      <c r="I172" s="721"/>
      <c r="J172" s="721"/>
      <c r="K172" s="721"/>
      <c r="L172" s="722"/>
    </row>
    <row r="173" spans="2:12" s="578" customFormat="1">
      <c r="B173" s="591"/>
      <c r="C173" s="714" t="s">
        <v>844</v>
      </c>
      <c r="D173" s="714"/>
      <c r="E173" s="714"/>
      <c r="F173" s="715" t="s">
        <v>843</v>
      </c>
      <c r="G173" s="716"/>
      <c r="H173" s="716"/>
      <c r="I173" s="716"/>
      <c r="J173" s="716"/>
      <c r="K173" s="716"/>
      <c r="L173" s="717"/>
    </row>
    <row r="174" spans="2:12" s="578" customFormat="1">
      <c r="B174" s="590" t="s">
        <v>839</v>
      </c>
      <c r="C174" s="589" t="s">
        <v>830</v>
      </c>
      <c r="D174" s="588" t="s">
        <v>830</v>
      </c>
      <c r="E174" s="588" t="s">
        <v>830</v>
      </c>
      <c r="F174" s="588" t="s">
        <v>830</v>
      </c>
      <c r="G174" s="588" t="s">
        <v>830</v>
      </c>
      <c r="H174" s="588" t="s">
        <v>830</v>
      </c>
      <c r="I174" s="588" t="s">
        <v>830</v>
      </c>
      <c r="J174" s="587" t="s">
        <v>837</v>
      </c>
      <c r="K174" s="587" t="s">
        <v>837</v>
      </c>
      <c r="L174" s="586" t="s">
        <v>837</v>
      </c>
    </row>
    <row r="175" spans="2:12" s="578" customFormat="1">
      <c r="B175" s="590" t="s">
        <v>836</v>
      </c>
      <c r="C175" s="589" t="s">
        <v>842</v>
      </c>
      <c r="D175" s="588">
        <v>200</v>
      </c>
      <c r="E175" s="588">
        <v>200</v>
      </c>
      <c r="F175" s="588">
        <v>300</v>
      </c>
      <c r="G175" s="588">
        <v>300</v>
      </c>
      <c r="H175" s="588">
        <v>400</v>
      </c>
      <c r="I175" s="588">
        <v>500</v>
      </c>
      <c r="J175" s="588">
        <v>550</v>
      </c>
      <c r="K175" s="588">
        <v>600</v>
      </c>
      <c r="L175" s="586">
        <v>500</v>
      </c>
    </row>
    <row r="176" spans="2:12" s="578" customFormat="1">
      <c r="B176" s="590" t="s">
        <v>835</v>
      </c>
      <c r="C176" s="589" t="s">
        <v>842</v>
      </c>
      <c r="D176" s="588">
        <v>200</v>
      </c>
      <c r="E176" s="588">
        <v>200</v>
      </c>
      <c r="F176" s="588">
        <v>300</v>
      </c>
      <c r="G176" s="588">
        <v>300</v>
      </c>
      <c r="H176" s="588">
        <v>400</v>
      </c>
      <c r="I176" s="588">
        <v>500</v>
      </c>
      <c r="J176" s="588">
        <v>550</v>
      </c>
      <c r="K176" s="588">
        <v>600</v>
      </c>
      <c r="L176" s="586">
        <v>250</v>
      </c>
    </row>
    <row r="177" spans="2:12" s="578" customFormat="1">
      <c r="B177" s="591"/>
      <c r="C177" s="714" t="s">
        <v>841</v>
      </c>
      <c r="D177" s="714"/>
      <c r="E177" s="714"/>
      <c r="F177" s="715" t="s">
        <v>840</v>
      </c>
      <c r="G177" s="716"/>
      <c r="H177" s="716"/>
      <c r="I177" s="716"/>
      <c r="J177" s="716"/>
      <c r="K177" s="716"/>
      <c r="L177" s="717"/>
    </row>
    <row r="178" spans="2:12" s="578" customFormat="1">
      <c r="B178" s="590" t="s">
        <v>839</v>
      </c>
      <c r="C178" s="589" t="s">
        <v>830</v>
      </c>
      <c r="D178" s="711" t="s">
        <v>838</v>
      </c>
      <c r="E178" s="588" t="s">
        <v>830</v>
      </c>
      <c r="F178" s="588" t="s">
        <v>830</v>
      </c>
      <c r="G178" s="588" t="s">
        <v>830</v>
      </c>
      <c r="H178" s="588" t="s">
        <v>830</v>
      </c>
      <c r="I178" s="588" t="s">
        <v>830</v>
      </c>
      <c r="J178" s="587" t="s">
        <v>837</v>
      </c>
      <c r="K178" s="587" t="s">
        <v>837</v>
      </c>
      <c r="L178" s="586" t="s">
        <v>837</v>
      </c>
    </row>
    <row r="179" spans="2:12" s="578" customFormat="1">
      <c r="B179" s="590" t="s">
        <v>836</v>
      </c>
      <c r="C179" s="589">
        <v>250</v>
      </c>
      <c r="D179" s="712"/>
      <c r="E179" s="588">
        <v>150</v>
      </c>
      <c r="F179" s="588">
        <v>200</v>
      </c>
      <c r="G179" s="588">
        <v>200</v>
      </c>
      <c r="H179" s="588">
        <v>300</v>
      </c>
      <c r="I179" s="588">
        <v>350</v>
      </c>
      <c r="J179" s="588">
        <v>400</v>
      </c>
      <c r="K179" s="588">
        <v>450</v>
      </c>
      <c r="L179" s="592">
        <v>500</v>
      </c>
    </row>
    <row r="180" spans="2:12" s="578" customFormat="1">
      <c r="B180" s="590" t="s">
        <v>835</v>
      </c>
      <c r="C180" s="589">
        <v>250</v>
      </c>
      <c r="D180" s="713"/>
      <c r="E180" s="588">
        <v>100</v>
      </c>
      <c r="F180" s="588">
        <v>150</v>
      </c>
      <c r="G180" s="588">
        <v>150</v>
      </c>
      <c r="H180" s="588">
        <v>200</v>
      </c>
      <c r="I180" s="588">
        <v>250</v>
      </c>
      <c r="J180" s="588">
        <v>250</v>
      </c>
      <c r="K180" s="588">
        <v>300</v>
      </c>
      <c r="L180" s="592">
        <v>300</v>
      </c>
    </row>
    <row r="181" spans="2:12" s="578" customFormat="1">
      <c r="B181" s="591"/>
      <c r="C181" s="714" t="s">
        <v>834</v>
      </c>
      <c r="D181" s="714"/>
      <c r="E181" s="714"/>
      <c r="F181" s="715" t="s">
        <v>869</v>
      </c>
      <c r="G181" s="716"/>
      <c r="H181" s="716"/>
      <c r="I181" s="716"/>
      <c r="J181" s="716"/>
      <c r="K181" s="716"/>
      <c r="L181" s="717"/>
    </row>
    <row r="182" spans="2:12" s="578" customFormat="1">
      <c r="B182" s="590" t="s">
        <v>832</v>
      </c>
      <c r="C182" s="589" t="s">
        <v>831</v>
      </c>
      <c r="D182" s="588" t="s">
        <v>831</v>
      </c>
      <c r="E182" s="588" t="s">
        <v>831</v>
      </c>
      <c r="F182" s="588" t="s">
        <v>831</v>
      </c>
      <c r="G182" s="588" t="s">
        <v>831</v>
      </c>
      <c r="H182" s="588" t="s">
        <v>831</v>
      </c>
      <c r="I182" s="587" t="s">
        <v>830</v>
      </c>
      <c r="J182" s="587" t="s">
        <v>830</v>
      </c>
      <c r="K182" s="587" t="s">
        <v>830</v>
      </c>
      <c r="L182" s="586" t="s">
        <v>830</v>
      </c>
    </row>
    <row r="183" spans="2:12" s="578" customFormat="1" ht="15.75" thickBot="1">
      <c r="B183" s="585" t="s">
        <v>829</v>
      </c>
      <c r="C183" s="584" t="s">
        <v>868</v>
      </c>
      <c r="D183" s="583" t="s">
        <v>867</v>
      </c>
      <c r="E183" s="583" t="s">
        <v>867</v>
      </c>
      <c r="F183" s="583" t="s">
        <v>867</v>
      </c>
      <c r="G183" s="583" t="s">
        <v>867</v>
      </c>
      <c r="H183" s="583" t="s">
        <v>867</v>
      </c>
      <c r="I183" s="583" t="s">
        <v>867</v>
      </c>
      <c r="J183" s="583" t="s">
        <v>867</v>
      </c>
      <c r="K183" s="583" t="s">
        <v>867</v>
      </c>
      <c r="L183" s="603" t="s">
        <v>866</v>
      </c>
    </row>
    <row r="184" spans="2:12" s="578" customFormat="1" ht="15.75" thickBot="1">
      <c r="B184" s="646"/>
      <c r="C184" s="718"/>
      <c r="D184" s="718"/>
      <c r="E184" s="718"/>
      <c r="F184" s="718"/>
      <c r="G184" s="718"/>
      <c r="H184" s="718"/>
      <c r="I184" s="718"/>
      <c r="J184" s="718"/>
      <c r="K184" s="718"/>
      <c r="L184" s="647"/>
    </row>
    <row r="185" spans="2:12" s="578" customFormat="1" ht="45">
      <c r="B185" s="602"/>
      <c r="C185" s="601" t="s">
        <v>865</v>
      </c>
      <c r="D185" s="600" t="s">
        <v>864</v>
      </c>
      <c r="E185" s="600" t="s">
        <v>863</v>
      </c>
      <c r="F185" s="600" t="s">
        <v>862</v>
      </c>
      <c r="G185" s="600" t="s">
        <v>861</v>
      </c>
      <c r="H185" s="600" t="s">
        <v>860</v>
      </c>
      <c r="I185" s="600" t="s">
        <v>859</v>
      </c>
      <c r="J185" s="600" t="s">
        <v>858</v>
      </c>
      <c r="K185" s="600" t="s">
        <v>857</v>
      </c>
      <c r="L185" s="599" t="s">
        <v>856</v>
      </c>
    </row>
    <row r="186" spans="2:12" s="578" customFormat="1">
      <c r="B186" s="590" t="s">
        <v>855</v>
      </c>
      <c r="C186" s="589">
        <v>3.93</v>
      </c>
      <c r="D186" s="1">
        <v>3.93</v>
      </c>
      <c r="E186" s="1">
        <v>5.6550000000000002</v>
      </c>
      <c r="F186" s="1">
        <v>10.050000000000001</v>
      </c>
      <c r="G186" s="1">
        <v>20.11</v>
      </c>
      <c r="H186" s="1">
        <v>31.42</v>
      </c>
      <c r="I186" s="1">
        <v>49.09</v>
      </c>
      <c r="J186" s="1">
        <v>61.58</v>
      </c>
      <c r="K186" s="1">
        <v>80.42</v>
      </c>
      <c r="L186" s="598">
        <v>101.79</v>
      </c>
    </row>
    <row r="187" spans="2:12" s="578" customFormat="1">
      <c r="B187" s="590" t="s">
        <v>854</v>
      </c>
      <c r="C187" s="596">
        <f>C186/(35*100)*100</f>
        <v>0.11228571428571429</v>
      </c>
      <c r="D187" s="593">
        <f>D186/(18*100)*100</f>
        <v>0.21833333333333335</v>
      </c>
      <c r="E187" s="593">
        <f t="shared" ref="E187:L187" si="9">E186/(35*100)*100</f>
        <v>0.16157142857142859</v>
      </c>
      <c r="F187" s="593">
        <f t="shared" si="9"/>
        <v>0.28714285714285714</v>
      </c>
      <c r="G187" s="593">
        <f t="shared" si="9"/>
        <v>0.57457142857142851</v>
      </c>
      <c r="H187" s="593">
        <f t="shared" si="9"/>
        <v>0.89771428571428569</v>
      </c>
      <c r="I187" s="593">
        <f t="shared" si="9"/>
        <v>1.4025714285714288</v>
      </c>
      <c r="J187" s="593">
        <f t="shared" si="9"/>
        <v>1.7594285714285716</v>
      </c>
      <c r="K187" s="593">
        <f t="shared" si="9"/>
        <v>2.297714285714286</v>
      </c>
      <c r="L187" s="597">
        <f t="shared" si="9"/>
        <v>2.9082857142857144</v>
      </c>
    </row>
    <row r="188" spans="2:12" s="578" customFormat="1">
      <c r="B188" s="591"/>
      <c r="C188" s="714" t="s">
        <v>853</v>
      </c>
      <c r="D188" s="714"/>
      <c r="E188" s="714"/>
      <c r="F188" s="719" t="s">
        <v>852</v>
      </c>
      <c r="G188" s="716"/>
      <c r="H188" s="716"/>
      <c r="I188" s="716"/>
      <c r="J188" s="716"/>
      <c r="K188" s="716"/>
      <c r="L188" s="717"/>
    </row>
    <row r="189" spans="2:12" s="578" customFormat="1">
      <c r="B189" s="590" t="s">
        <v>851</v>
      </c>
      <c r="C189" s="596" t="s">
        <v>850</v>
      </c>
      <c r="D189" s="595" t="s">
        <v>850</v>
      </c>
      <c r="E189" s="594" t="s">
        <v>849</v>
      </c>
      <c r="F189" s="593" t="s">
        <v>849</v>
      </c>
      <c r="G189" s="721"/>
      <c r="H189" s="721"/>
      <c r="I189" s="721"/>
      <c r="J189" s="721"/>
      <c r="K189" s="721"/>
      <c r="L189" s="722"/>
    </row>
    <row r="190" spans="2:12" s="578" customFormat="1">
      <c r="B190" s="590" t="s">
        <v>848</v>
      </c>
      <c r="C190" s="596" t="s">
        <v>846</v>
      </c>
      <c r="D190" s="595" t="s">
        <v>846</v>
      </c>
      <c r="E190" s="594" t="s">
        <v>845</v>
      </c>
      <c r="F190" s="593" t="s">
        <v>845</v>
      </c>
      <c r="G190" s="721"/>
      <c r="H190" s="721"/>
      <c r="I190" s="721"/>
      <c r="J190" s="721"/>
      <c r="K190" s="721"/>
      <c r="L190" s="722"/>
    </row>
    <row r="191" spans="2:12" s="578" customFormat="1">
      <c r="B191" s="590" t="s">
        <v>847</v>
      </c>
      <c r="C191" s="596" t="s">
        <v>846</v>
      </c>
      <c r="D191" s="595" t="s">
        <v>846</v>
      </c>
      <c r="E191" s="594" t="s">
        <v>845</v>
      </c>
      <c r="F191" s="593" t="s">
        <v>845</v>
      </c>
      <c r="G191" s="721"/>
      <c r="H191" s="721"/>
      <c r="I191" s="721"/>
      <c r="J191" s="721"/>
      <c r="K191" s="721"/>
      <c r="L191" s="722"/>
    </row>
    <row r="192" spans="2:12" s="578" customFormat="1">
      <c r="B192" s="591"/>
      <c r="C192" s="714" t="s">
        <v>844</v>
      </c>
      <c r="D192" s="714"/>
      <c r="E192" s="714"/>
      <c r="F192" s="715" t="s">
        <v>843</v>
      </c>
      <c r="G192" s="716"/>
      <c r="H192" s="716"/>
      <c r="I192" s="716"/>
      <c r="J192" s="716"/>
      <c r="K192" s="716"/>
      <c r="L192" s="717"/>
    </row>
    <row r="193" spans="2:12" s="578" customFormat="1">
      <c r="B193" s="590" t="s">
        <v>839</v>
      </c>
      <c r="C193" s="589" t="s">
        <v>830</v>
      </c>
      <c r="D193" s="588" t="s">
        <v>830</v>
      </c>
      <c r="E193" s="588" t="s">
        <v>830</v>
      </c>
      <c r="F193" s="588" t="s">
        <v>830</v>
      </c>
      <c r="G193" s="588" t="s">
        <v>830</v>
      </c>
      <c r="H193" s="588" t="s">
        <v>830</v>
      </c>
      <c r="I193" s="588" t="s">
        <v>830</v>
      </c>
      <c r="J193" s="587" t="s">
        <v>837</v>
      </c>
      <c r="K193" s="587" t="s">
        <v>837</v>
      </c>
      <c r="L193" s="586" t="s">
        <v>837</v>
      </c>
    </row>
    <row r="194" spans="2:12" s="578" customFormat="1">
      <c r="B194" s="590" t="s">
        <v>836</v>
      </c>
      <c r="C194" s="589" t="s">
        <v>842</v>
      </c>
      <c r="D194" s="588">
        <v>200</v>
      </c>
      <c r="E194" s="588">
        <v>200</v>
      </c>
      <c r="F194" s="588">
        <v>300</v>
      </c>
      <c r="G194" s="588">
        <v>300</v>
      </c>
      <c r="H194" s="588">
        <v>400</v>
      </c>
      <c r="I194" s="588">
        <v>500</v>
      </c>
      <c r="J194" s="588">
        <v>550</v>
      </c>
      <c r="K194" s="587">
        <v>450</v>
      </c>
      <c r="L194" s="586">
        <v>500</v>
      </c>
    </row>
    <row r="195" spans="2:12" s="578" customFormat="1">
      <c r="B195" s="590" t="s">
        <v>835</v>
      </c>
      <c r="C195" s="589" t="s">
        <v>842</v>
      </c>
      <c r="D195" s="588">
        <v>200</v>
      </c>
      <c r="E195" s="588">
        <v>200</v>
      </c>
      <c r="F195" s="588">
        <v>300</v>
      </c>
      <c r="G195" s="588">
        <v>300</v>
      </c>
      <c r="H195" s="588">
        <v>400</v>
      </c>
      <c r="I195" s="588">
        <v>500</v>
      </c>
      <c r="J195" s="588">
        <v>550</v>
      </c>
      <c r="K195" s="587">
        <v>250</v>
      </c>
      <c r="L195" s="586">
        <v>250</v>
      </c>
    </row>
    <row r="196" spans="2:12" s="578" customFormat="1">
      <c r="B196" s="591"/>
      <c r="C196" s="714" t="s">
        <v>841</v>
      </c>
      <c r="D196" s="714"/>
      <c r="E196" s="714"/>
      <c r="F196" s="715" t="s">
        <v>840</v>
      </c>
      <c r="G196" s="716"/>
      <c r="H196" s="716"/>
      <c r="I196" s="716"/>
      <c r="J196" s="716"/>
      <c r="K196" s="716"/>
      <c r="L196" s="717"/>
    </row>
    <row r="197" spans="2:12" s="578" customFormat="1">
      <c r="B197" s="590" t="s">
        <v>839</v>
      </c>
      <c r="C197" s="589" t="s">
        <v>830</v>
      </c>
      <c r="D197" s="711" t="s">
        <v>838</v>
      </c>
      <c r="E197" s="588" t="s">
        <v>830</v>
      </c>
      <c r="F197" s="588" t="s">
        <v>830</v>
      </c>
      <c r="G197" s="588" t="s">
        <v>830</v>
      </c>
      <c r="H197" s="588" t="s">
        <v>830</v>
      </c>
      <c r="I197" s="588" t="s">
        <v>830</v>
      </c>
      <c r="J197" s="587" t="s">
        <v>837</v>
      </c>
      <c r="K197" s="587" t="s">
        <v>837</v>
      </c>
      <c r="L197" s="586" t="s">
        <v>837</v>
      </c>
    </row>
    <row r="198" spans="2:12" s="578" customFormat="1">
      <c r="B198" s="590" t="s">
        <v>836</v>
      </c>
      <c r="C198" s="589">
        <v>250</v>
      </c>
      <c r="D198" s="712"/>
      <c r="E198" s="588">
        <v>150</v>
      </c>
      <c r="F198" s="588">
        <v>200</v>
      </c>
      <c r="G198" s="588">
        <v>200</v>
      </c>
      <c r="H198" s="588">
        <v>300</v>
      </c>
      <c r="I198" s="588">
        <v>350</v>
      </c>
      <c r="J198" s="588">
        <v>400</v>
      </c>
      <c r="K198" s="588">
        <v>450</v>
      </c>
      <c r="L198" s="592">
        <v>500</v>
      </c>
    </row>
    <row r="199" spans="2:12" s="578" customFormat="1">
      <c r="B199" s="590" t="s">
        <v>835</v>
      </c>
      <c r="C199" s="589">
        <v>250</v>
      </c>
      <c r="D199" s="713"/>
      <c r="E199" s="588">
        <v>100</v>
      </c>
      <c r="F199" s="588">
        <v>150</v>
      </c>
      <c r="G199" s="588">
        <v>150</v>
      </c>
      <c r="H199" s="588">
        <v>200</v>
      </c>
      <c r="I199" s="588">
        <v>250</v>
      </c>
      <c r="J199" s="588">
        <v>250</v>
      </c>
      <c r="K199" s="588">
        <v>300</v>
      </c>
      <c r="L199" s="592">
        <v>300</v>
      </c>
    </row>
    <row r="200" spans="2:12" s="578" customFormat="1">
      <c r="B200" s="591"/>
      <c r="C200" s="714" t="s">
        <v>834</v>
      </c>
      <c r="D200" s="714"/>
      <c r="E200" s="714"/>
      <c r="F200" s="715" t="s">
        <v>833</v>
      </c>
      <c r="G200" s="716"/>
      <c r="H200" s="716"/>
      <c r="I200" s="716"/>
      <c r="J200" s="716"/>
      <c r="K200" s="716"/>
      <c r="L200" s="717"/>
    </row>
    <row r="201" spans="2:12" s="578" customFormat="1">
      <c r="B201" s="590" t="s">
        <v>832</v>
      </c>
      <c r="C201" s="589" t="s">
        <v>831</v>
      </c>
      <c r="D201" s="588" t="s">
        <v>831</v>
      </c>
      <c r="E201" s="588" t="s">
        <v>831</v>
      </c>
      <c r="F201" s="588" t="s">
        <v>831</v>
      </c>
      <c r="G201" s="588" t="s">
        <v>831</v>
      </c>
      <c r="H201" s="588" t="s">
        <v>831</v>
      </c>
      <c r="I201" s="587" t="s">
        <v>830</v>
      </c>
      <c r="J201" s="587" t="s">
        <v>830</v>
      </c>
      <c r="K201" s="587" t="s">
        <v>830</v>
      </c>
      <c r="L201" s="586" t="s">
        <v>830</v>
      </c>
    </row>
    <row r="202" spans="2:12" s="578" customFormat="1" ht="15.75" thickBot="1">
      <c r="B202" s="585" t="s">
        <v>829</v>
      </c>
      <c r="C202" s="584" t="s">
        <v>828</v>
      </c>
      <c r="D202" s="583" t="s">
        <v>827</v>
      </c>
      <c r="E202" s="583" t="s">
        <v>827</v>
      </c>
      <c r="F202" s="583" t="s">
        <v>827</v>
      </c>
      <c r="G202" s="583" t="s">
        <v>827</v>
      </c>
      <c r="H202" s="583" t="s">
        <v>827</v>
      </c>
      <c r="I202" s="583" t="s">
        <v>827</v>
      </c>
      <c r="J202" s="583" t="s">
        <v>827</v>
      </c>
      <c r="K202" s="582" t="s">
        <v>826</v>
      </c>
      <c r="L202" s="582" t="s">
        <v>826</v>
      </c>
    </row>
    <row r="203" spans="2:12" s="578" customFormat="1"/>
    <row r="204" spans="2:12" s="578" customFormat="1"/>
    <row r="205" spans="2:12" s="578" customFormat="1"/>
    <row r="206" spans="2:12" s="578" customFormat="1" ht="15.75" thickBot="1"/>
    <row r="207" spans="2:12" s="578" customFormat="1" ht="15.75" thickBot="1">
      <c r="L207" s="604" t="s">
        <v>884</v>
      </c>
    </row>
    <row r="208" spans="2:12" s="578" customFormat="1" ht="45">
      <c r="B208" s="602"/>
      <c r="C208" s="601" t="s">
        <v>883</v>
      </c>
      <c r="D208" s="600" t="s">
        <v>882</v>
      </c>
      <c r="E208" s="600" t="s">
        <v>881</v>
      </c>
      <c r="F208" s="600" t="s">
        <v>880</v>
      </c>
      <c r="G208" s="600" t="s">
        <v>879</v>
      </c>
      <c r="H208" s="600" t="s">
        <v>878</v>
      </c>
      <c r="I208" s="600" t="s">
        <v>877</v>
      </c>
      <c r="J208" s="600" t="s">
        <v>876</v>
      </c>
      <c r="K208" s="600" t="s">
        <v>875</v>
      </c>
      <c r="L208" s="599" t="s">
        <v>874</v>
      </c>
    </row>
    <row r="209" spans="2:12" s="578" customFormat="1">
      <c r="B209" s="590" t="s">
        <v>855</v>
      </c>
      <c r="C209" s="589">
        <v>3.14</v>
      </c>
      <c r="D209" s="1">
        <v>3.14</v>
      </c>
      <c r="E209" s="1">
        <v>4.5199999999999996</v>
      </c>
      <c r="F209" s="1">
        <v>8.0399999999999991</v>
      </c>
      <c r="G209" s="1">
        <v>16.079999999999998</v>
      </c>
      <c r="H209" s="1">
        <v>25.13</v>
      </c>
      <c r="I209" s="1">
        <v>39.270000000000003</v>
      </c>
      <c r="J209" s="1">
        <v>49.26</v>
      </c>
      <c r="K209" s="1">
        <v>64.34</v>
      </c>
      <c r="L209" s="598">
        <v>81.430000000000007</v>
      </c>
    </row>
    <row r="210" spans="2:12" s="578" customFormat="1">
      <c r="B210" s="590" t="s">
        <v>854</v>
      </c>
      <c r="C210" s="596">
        <f>C209/(40*100)*100</f>
        <v>7.85E-2</v>
      </c>
      <c r="D210" s="593">
        <f>D209/(18*100)*100</f>
        <v>0.17444444444444446</v>
      </c>
      <c r="E210" s="593">
        <f t="shared" ref="E210:L210" si="10">E209/(40*100)*100</f>
        <v>0.11299999999999999</v>
      </c>
      <c r="F210" s="593">
        <f t="shared" si="10"/>
        <v>0.20099999999999996</v>
      </c>
      <c r="G210" s="593">
        <f t="shared" si="10"/>
        <v>0.40199999999999991</v>
      </c>
      <c r="H210" s="593">
        <f t="shared" si="10"/>
        <v>0.62824999999999998</v>
      </c>
      <c r="I210" s="593">
        <f t="shared" si="10"/>
        <v>0.98175000000000012</v>
      </c>
      <c r="J210" s="593">
        <f t="shared" si="10"/>
        <v>1.2315</v>
      </c>
      <c r="K210" s="593">
        <f t="shared" si="10"/>
        <v>1.6085000000000003</v>
      </c>
      <c r="L210" s="597">
        <f t="shared" si="10"/>
        <v>2.0357500000000002</v>
      </c>
    </row>
    <row r="211" spans="2:12" s="578" customFormat="1">
      <c r="B211" s="591"/>
      <c r="C211" s="714" t="s">
        <v>853</v>
      </c>
      <c r="D211" s="714"/>
      <c r="E211" s="714"/>
      <c r="F211" s="719" t="s">
        <v>852</v>
      </c>
      <c r="G211" s="716"/>
      <c r="H211" s="716"/>
      <c r="I211" s="716"/>
      <c r="J211" s="716"/>
      <c r="K211" s="716"/>
      <c r="L211" s="717"/>
    </row>
    <row r="212" spans="2:12" s="578" customFormat="1">
      <c r="B212" s="590" t="s">
        <v>851</v>
      </c>
      <c r="C212" s="596" t="s">
        <v>873</v>
      </c>
      <c r="D212" s="595" t="s">
        <v>873</v>
      </c>
      <c r="E212" s="594" t="s">
        <v>872</v>
      </c>
      <c r="F212" s="594" t="s">
        <v>872</v>
      </c>
      <c r="G212" s="720"/>
      <c r="H212" s="721"/>
      <c r="I212" s="721"/>
      <c r="J212" s="721"/>
      <c r="K212" s="721"/>
      <c r="L212" s="722"/>
    </row>
    <row r="213" spans="2:12" s="578" customFormat="1">
      <c r="B213" s="590" t="s">
        <v>848</v>
      </c>
      <c r="C213" s="596" t="s">
        <v>871</v>
      </c>
      <c r="D213" s="595" t="s">
        <v>871</v>
      </c>
      <c r="E213" s="594" t="s">
        <v>870</v>
      </c>
      <c r="F213" s="594" t="s">
        <v>870</v>
      </c>
      <c r="G213" s="720"/>
      <c r="H213" s="721"/>
      <c r="I213" s="721"/>
      <c r="J213" s="721"/>
      <c r="K213" s="721"/>
      <c r="L213" s="722"/>
    </row>
    <row r="214" spans="2:12" s="578" customFormat="1">
      <c r="B214" s="590" t="s">
        <v>847</v>
      </c>
      <c r="C214" s="596" t="s">
        <v>871</v>
      </c>
      <c r="D214" s="595" t="s">
        <v>871</v>
      </c>
      <c r="E214" s="594" t="s">
        <v>870</v>
      </c>
      <c r="F214" s="594" t="s">
        <v>870</v>
      </c>
      <c r="G214" s="720"/>
      <c r="H214" s="721"/>
      <c r="I214" s="721"/>
      <c r="J214" s="721"/>
      <c r="K214" s="721"/>
      <c r="L214" s="722"/>
    </row>
    <row r="215" spans="2:12" s="578" customFormat="1">
      <c r="B215" s="591"/>
      <c r="C215" s="714" t="s">
        <v>844</v>
      </c>
      <c r="D215" s="714"/>
      <c r="E215" s="714"/>
      <c r="F215" s="715" t="s">
        <v>843</v>
      </c>
      <c r="G215" s="716"/>
      <c r="H215" s="716"/>
      <c r="I215" s="716"/>
      <c r="J215" s="716"/>
      <c r="K215" s="716"/>
      <c r="L215" s="717"/>
    </row>
    <row r="216" spans="2:12" s="578" customFormat="1">
      <c r="B216" s="590" t="s">
        <v>839</v>
      </c>
      <c r="C216" s="589" t="s">
        <v>830</v>
      </c>
      <c r="D216" s="588" t="s">
        <v>830</v>
      </c>
      <c r="E216" s="588" t="s">
        <v>830</v>
      </c>
      <c r="F216" s="588" t="s">
        <v>830</v>
      </c>
      <c r="G216" s="588" t="s">
        <v>830</v>
      </c>
      <c r="H216" s="588" t="s">
        <v>830</v>
      </c>
      <c r="I216" s="588" t="s">
        <v>830</v>
      </c>
      <c r="J216" s="587" t="s">
        <v>837</v>
      </c>
      <c r="K216" s="587" t="s">
        <v>837</v>
      </c>
      <c r="L216" s="586" t="s">
        <v>837</v>
      </c>
    </row>
    <row r="217" spans="2:12" s="578" customFormat="1">
      <c r="B217" s="590" t="s">
        <v>836</v>
      </c>
      <c r="C217" s="589" t="s">
        <v>842</v>
      </c>
      <c r="D217" s="588">
        <v>200</v>
      </c>
      <c r="E217" s="588">
        <v>200</v>
      </c>
      <c r="F217" s="588">
        <v>300</v>
      </c>
      <c r="G217" s="588">
        <v>300</v>
      </c>
      <c r="H217" s="588">
        <v>400</v>
      </c>
      <c r="I217" s="588">
        <v>500</v>
      </c>
      <c r="J217" s="588">
        <v>550</v>
      </c>
      <c r="K217" s="588">
        <v>600</v>
      </c>
      <c r="L217" s="586">
        <v>500</v>
      </c>
    </row>
    <row r="218" spans="2:12" s="578" customFormat="1">
      <c r="B218" s="590" t="s">
        <v>835</v>
      </c>
      <c r="C218" s="589" t="s">
        <v>842</v>
      </c>
      <c r="D218" s="588">
        <v>200</v>
      </c>
      <c r="E218" s="588">
        <v>200</v>
      </c>
      <c r="F218" s="588">
        <v>300</v>
      </c>
      <c r="G218" s="588">
        <v>300</v>
      </c>
      <c r="H218" s="588">
        <v>400</v>
      </c>
      <c r="I218" s="588">
        <v>500</v>
      </c>
      <c r="J218" s="588">
        <v>550</v>
      </c>
      <c r="K218" s="588">
        <v>600</v>
      </c>
      <c r="L218" s="586">
        <v>250</v>
      </c>
    </row>
    <row r="219" spans="2:12" s="578" customFormat="1">
      <c r="B219" s="591"/>
      <c r="C219" s="714" t="s">
        <v>841</v>
      </c>
      <c r="D219" s="714"/>
      <c r="E219" s="714"/>
      <c r="F219" s="715" t="s">
        <v>840</v>
      </c>
      <c r="G219" s="716"/>
      <c r="H219" s="716"/>
      <c r="I219" s="716"/>
      <c r="J219" s="716"/>
      <c r="K219" s="716"/>
      <c r="L219" s="717"/>
    </row>
    <row r="220" spans="2:12" s="578" customFormat="1">
      <c r="B220" s="590" t="s">
        <v>839</v>
      </c>
      <c r="C220" s="589" t="s">
        <v>830</v>
      </c>
      <c r="D220" s="711" t="s">
        <v>838</v>
      </c>
      <c r="E220" s="588" t="s">
        <v>830</v>
      </c>
      <c r="F220" s="588" t="s">
        <v>830</v>
      </c>
      <c r="G220" s="588" t="s">
        <v>830</v>
      </c>
      <c r="H220" s="588" t="s">
        <v>830</v>
      </c>
      <c r="I220" s="588" t="s">
        <v>830</v>
      </c>
      <c r="J220" s="587" t="s">
        <v>837</v>
      </c>
      <c r="K220" s="587" t="s">
        <v>837</v>
      </c>
      <c r="L220" s="586" t="s">
        <v>837</v>
      </c>
    </row>
    <row r="221" spans="2:12" s="578" customFormat="1">
      <c r="B221" s="590" t="s">
        <v>836</v>
      </c>
      <c r="C221" s="589">
        <v>250</v>
      </c>
      <c r="D221" s="712"/>
      <c r="E221" s="588">
        <v>150</v>
      </c>
      <c r="F221" s="588">
        <v>200</v>
      </c>
      <c r="G221" s="588">
        <v>200</v>
      </c>
      <c r="H221" s="588">
        <v>300</v>
      </c>
      <c r="I221" s="588">
        <v>350</v>
      </c>
      <c r="J221" s="588">
        <v>400</v>
      </c>
      <c r="K221" s="588">
        <v>450</v>
      </c>
      <c r="L221" s="592">
        <v>500</v>
      </c>
    </row>
    <row r="222" spans="2:12" s="578" customFormat="1">
      <c r="B222" s="590" t="s">
        <v>835</v>
      </c>
      <c r="C222" s="589">
        <v>250</v>
      </c>
      <c r="D222" s="713"/>
      <c r="E222" s="588">
        <v>100</v>
      </c>
      <c r="F222" s="588">
        <v>150</v>
      </c>
      <c r="G222" s="588">
        <v>150</v>
      </c>
      <c r="H222" s="588">
        <v>200</v>
      </c>
      <c r="I222" s="588">
        <v>250</v>
      </c>
      <c r="J222" s="588">
        <v>250</v>
      </c>
      <c r="K222" s="588">
        <v>300</v>
      </c>
      <c r="L222" s="592">
        <v>300</v>
      </c>
    </row>
    <row r="223" spans="2:12" s="578" customFormat="1">
      <c r="B223" s="591"/>
      <c r="C223" s="714" t="s">
        <v>834</v>
      </c>
      <c r="D223" s="714"/>
      <c r="E223" s="714"/>
      <c r="F223" s="715" t="s">
        <v>869</v>
      </c>
      <c r="G223" s="716"/>
      <c r="H223" s="716"/>
      <c r="I223" s="716"/>
      <c r="J223" s="716"/>
      <c r="K223" s="716"/>
      <c r="L223" s="717"/>
    </row>
    <row r="224" spans="2:12" s="578" customFormat="1">
      <c r="B224" s="590" t="s">
        <v>832</v>
      </c>
      <c r="C224" s="589" t="s">
        <v>831</v>
      </c>
      <c r="D224" s="588" t="s">
        <v>831</v>
      </c>
      <c r="E224" s="588" t="s">
        <v>831</v>
      </c>
      <c r="F224" s="588" t="s">
        <v>831</v>
      </c>
      <c r="G224" s="588" t="s">
        <v>831</v>
      </c>
      <c r="H224" s="588" t="s">
        <v>831</v>
      </c>
      <c r="I224" s="587" t="s">
        <v>830</v>
      </c>
      <c r="J224" s="587" t="s">
        <v>830</v>
      </c>
      <c r="K224" s="587" t="s">
        <v>830</v>
      </c>
      <c r="L224" s="586" t="s">
        <v>830</v>
      </c>
    </row>
    <row r="225" spans="2:12" s="578" customFormat="1" ht="15.75" thickBot="1">
      <c r="B225" s="585" t="s">
        <v>829</v>
      </c>
      <c r="C225" s="584" t="s">
        <v>868</v>
      </c>
      <c r="D225" s="583" t="s">
        <v>867</v>
      </c>
      <c r="E225" s="583" t="s">
        <v>867</v>
      </c>
      <c r="F225" s="583" t="s">
        <v>867</v>
      </c>
      <c r="G225" s="583" t="s">
        <v>867</v>
      </c>
      <c r="H225" s="583" t="s">
        <v>867</v>
      </c>
      <c r="I225" s="583" t="s">
        <v>867</v>
      </c>
      <c r="J225" s="583" t="s">
        <v>867</v>
      </c>
      <c r="K225" s="583" t="s">
        <v>867</v>
      </c>
      <c r="L225" s="603" t="s">
        <v>866</v>
      </c>
    </row>
    <row r="226" spans="2:12" s="578" customFormat="1" ht="15.75" thickBot="1">
      <c r="B226" s="646"/>
      <c r="C226" s="718"/>
      <c r="D226" s="718"/>
      <c r="E226" s="718"/>
      <c r="F226" s="718"/>
      <c r="G226" s="718"/>
      <c r="H226" s="718"/>
      <c r="I226" s="718"/>
      <c r="J226" s="718"/>
      <c r="K226" s="718"/>
      <c r="L226" s="647"/>
    </row>
    <row r="227" spans="2:12" s="578" customFormat="1" ht="45">
      <c r="B227" s="602"/>
      <c r="C227" s="601" t="s">
        <v>865</v>
      </c>
      <c r="D227" s="600" t="s">
        <v>864</v>
      </c>
      <c r="E227" s="600" t="s">
        <v>863</v>
      </c>
      <c r="F227" s="600" t="s">
        <v>862</v>
      </c>
      <c r="G227" s="600" t="s">
        <v>861</v>
      </c>
      <c r="H227" s="600" t="s">
        <v>860</v>
      </c>
      <c r="I227" s="600" t="s">
        <v>859</v>
      </c>
      <c r="J227" s="600" t="s">
        <v>858</v>
      </c>
      <c r="K227" s="600" t="s">
        <v>857</v>
      </c>
      <c r="L227" s="599" t="s">
        <v>856</v>
      </c>
    </row>
    <row r="228" spans="2:12" s="578" customFormat="1">
      <c r="B228" s="590" t="s">
        <v>855</v>
      </c>
      <c r="C228" s="589">
        <v>3.93</v>
      </c>
      <c r="D228" s="1">
        <v>3.93</v>
      </c>
      <c r="E228" s="1">
        <v>5.6550000000000002</v>
      </c>
      <c r="F228" s="1">
        <v>10.050000000000001</v>
      </c>
      <c r="G228" s="1">
        <v>20.11</v>
      </c>
      <c r="H228" s="1">
        <v>31.42</v>
      </c>
      <c r="I228" s="1">
        <v>49.09</v>
      </c>
      <c r="J228" s="1">
        <v>61.58</v>
      </c>
      <c r="K228" s="1">
        <v>80.42</v>
      </c>
      <c r="L228" s="598">
        <v>101.79</v>
      </c>
    </row>
    <row r="229" spans="2:12" s="578" customFormat="1">
      <c r="B229" s="590" t="s">
        <v>854</v>
      </c>
      <c r="C229" s="596">
        <f>C228/(40*100)*100</f>
        <v>9.8250000000000004E-2</v>
      </c>
      <c r="D229" s="593">
        <f>D228/(18*100)*100</f>
        <v>0.21833333333333335</v>
      </c>
      <c r="E229" s="593">
        <f t="shared" ref="E229:L229" si="11">E228/(40*100)*100</f>
        <v>0.141375</v>
      </c>
      <c r="F229" s="593">
        <f t="shared" si="11"/>
        <v>0.25124999999999997</v>
      </c>
      <c r="G229" s="593">
        <f t="shared" si="11"/>
        <v>0.50275000000000003</v>
      </c>
      <c r="H229" s="593">
        <f t="shared" si="11"/>
        <v>0.78550000000000009</v>
      </c>
      <c r="I229" s="593">
        <f t="shared" si="11"/>
        <v>1.22725</v>
      </c>
      <c r="J229" s="593">
        <f t="shared" si="11"/>
        <v>1.5394999999999999</v>
      </c>
      <c r="K229" s="593">
        <f t="shared" si="11"/>
        <v>2.0105</v>
      </c>
      <c r="L229" s="597">
        <f t="shared" si="11"/>
        <v>2.5447500000000001</v>
      </c>
    </row>
    <row r="230" spans="2:12" s="578" customFormat="1">
      <c r="B230" s="591"/>
      <c r="C230" s="714" t="s">
        <v>853</v>
      </c>
      <c r="D230" s="714"/>
      <c r="E230" s="714"/>
      <c r="F230" s="719" t="s">
        <v>852</v>
      </c>
      <c r="G230" s="716"/>
      <c r="H230" s="716"/>
      <c r="I230" s="716"/>
      <c r="J230" s="716"/>
      <c r="K230" s="716"/>
      <c r="L230" s="717"/>
    </row>
    <row r="231" spans="2:12" s="578" customFormat="1">
      <c r="B231" s="590" t="s">
        <v>851</v>
      </c>
      <c r="C231" s="596" t="s">
        <v>850</v>
      </c>
      <c r="D231" s="595" t="s">
        <v>850</v>
      </c>
      <c r="E231" s="594" t="s">
        <v>849</v>
      </c>
      <c r="F231" s="593" t="s">
        <v>849</v>
      </c>
      <c r="G231" s="721"/>
      <c r="H231" s="721"/>
      <c r="I231" s="721"/>
      <c r="J231" s="721"/>
      <c r="K231" s="721"/>
      <c r="L231" s="722"/>
    </row>
    <row r="232" spans="2:12" s="578" customFormat="1">
      <c r="B232" s="590" t="s">
        <v>848</v>
      </c>
      <c r="C232" s="596" t="s">
        <v>846</v>
      </c>
      <c r="D232" s="595" t="s">
        <v>846</v>
      </c>
      <c r="E232" s="594" t="s">
        <v>845</v>
      </c>
      <c r="F232" s="593" t="s">
        <v>845</v>
      </c>
      <c r="G232" s="721"/>
      <c r="H232" s="721"/>
      <c r="I232" s="721"/>
      <c r="J232" s="721"/>
      <c r="K232" s="721"/>
      <c r="L232" s="722"/>
    </row>
    <row r="233" spans="2:12" s="578" customFormat="1">
      <c r="B233" s="590" t="s">
        <v>847</v>
      </c>
      <c r="C233" s="596" t="s">
        <v>846</v>
      </c>
      <c r="D233" s="595" t="s">
        <v>846</v>
      </c>
      <c r="E233" s="594" t="s">
        <v>845</v>
      </c>
      <c r="F233" s="593" t="s">
        <v>845</v>
      </c>
      <c r="G233" s="721"/>
      <c r="H233" s="721"/>
      <c r="I233" s="721"/>
      <c r="J233" s="721"/>
      <c r="K233" s="721"/>
      <c r="L233" s="722"/>
    </row>
    <row r="234" spans="2:12" s="578" customFormat="1">
      <c r="B234" s="591"/>
      <c r="C234" s="714" t="s">
        <v>844</v>
      </c>
      <c r="D234" s="714"/>
      <c r="E234" s="714"/>
      <c r="F234" s="715" t="s">
        <v>843</v>
      </c>
      <c r="G234" s="716"/>
      <c r="H234" s="716"/>
      <c r="I234" s="716"/>
      <c r="J234" s="716"/>
      <c r="K234" s="716"/>
      <c r="L234" s="717"/>
    </row>
    <row r="235" spans="2:12" s="578" customFormat="1">
      <c r="B235" s="590" t="s">
        <v>839</v>
      </c>
      <c r="C235" s="589" t="s">
        <v>830</v>
      </c>
      <c r="D235" s="588" t="s">
        <v>830</v>
      </c>
      <c r="E235" s="588" t="s">
        <v>830</v>
      </c>
      <c r="F235" s="588" t="s">
        <v>830</v>
      </c>
      <c r="G235" s="588" t="s">
        <v>830</v>
      </c>
      <c r="H235" s="588" t="s">
        <v>830</v>
      </c>
      <c r="I235" s="588" t="s">
        <v>830</v>
      </c>
      <c r="J235" s="587" t="s">
        <v>837</v>
      </c>
      <c r="K235" s="587" t="s">
        <v>837</v>
      </c>
      <c r="L235" s="586" t="s">
        <v>837</v>
      </c>
    </row>
    <row r="236" spans="2:12" s="578" customFormat="1">
      <c r="B236" s="590" t="s">
        <v>836</v>
      </c>
      <c r="C236" s="589" t="s">
        <v>842</v>
      </c>
      <c r="D236" s="588">
        <v>200</v>
      </c>
      <c r="E236" s="588">
        <v>200</v>
      </c>
      <c r="F236" s="588">
        <v>300</v>
      </c>
      <c r="G236" s="588">
        <v>300</v>
      </c>
      <c r="H236" s="588">
        <v>400</v>
      </c>
      <c r="I236" s="588">
        <v>500</v>
      </c>
      <c r="J236" s="588">
        <v>550</v>
      </c>
      <c r="K236" s="587">
        <v>450</v>
      </c>
      <c r="L236" s="586">
        <v>500</v>
      </c>
    </row>
    <row r="237" spans="2:12" s="578" customFormat="1">
      <c r="B237" s="590" t="s">
        <v>835</v>
      </c>
      <c r="C237" s="589" t="s">
        <v>842</v>
      </c>
      <c r="D237" s="588">
        <v>200</v>
      </c>
      <c r="E237" s="588">
        <v>200</v>
      </c>
      <c r="F237" s="588">
        <v>300</v>
      </c>
      <c r="G237" s="588">
        <v>300</v>
      </c>
      <c r="H237" s="588">
        <v>400</v>
      </c>
      <c r="I237" s="588">
        <v>500</v>
      </c>
      <c r="J237" s="588">
        <v>550</v>
      </c>
      <c r="K237" s="587">
        <v>250</v>
      </c>
      <c r="L237" s="586">
        <v>250</v>
      </c>
    </row>
    <row r="238" spans="2:12" s="578" customFormat="1">
      <c r="B238" s="591"/>
      <c r="C238" s="714" t="s">
        <v>841</v>
      </c>
      <c r="D238" s="714"/>
      <c r="E238" s="714"/>
      <c r="F238" s="715" t="s">
        <v>840</v>
      </c>
      <c r="G238" s="716"/>
      <c r="H238" s="716"/>
      <c r="I238" s="716"/>
      <c r="J238" s="716"/>
      <c r="K238" s="716"/>
      <c r="L238" s="717"/>
    </row>
    <row r="239" spans="2:12" s="578" customFormat="1">
      <c r="B239" s="590" t="s">
        <v>839</v>
      </c>
      <c r="C239" s="589" t="s">
        <v>830</v>
      </c>
      <c r="D239" s="711" t="s">
        <v>838</v>
      </c>
      <c r="E239" s="588" t="s">
        <v>830</v>
      </c>
      <c r="F239" s="588" t="s">
        <v>830</v>
      </c>
      <c r="G239" s="588" t="s">
        <v>830</v>
      </c>
      <c r="H239" s="588" t="s">
        <v>830</v>
      </c>
      <c r="I239" s="588" t="s">
        <v>830</v>
      </c>
      <c r="J239" s="587" t="s">
        <v>837</v>
      </c>
      <c r="K239" s="587" t="s">
        <v>837</v>
      </c>
      <c r="L239" s="586" t="s">
        <v>837</v>
      </c>
    </row>
    <row r="240" spans="2:12" s="578" customFormat="1">
      <c r="B240" s="590" t="s">
        <v>836</v>
      </c>
      <c r="C240" s="589">
        <v>250</v>
      </c>
      <c r="D240" s="712"/>
      <c r="E240" s="588">
        <v>150</v>
      </c>
      <c r="F240" s="588">
        <v>200</v>
      </c>
      <c r="G240" s="588">
        <v>200</v>
      </c>
      <c r="H240" s="588">
        <v>300</v>
      </c>
      <c r="I240" s="588">
        <v>350</v>
      </c>
      <c r="J240" s="588">
        <v>400</v>
      </c>
      <c r="K240" s="588">
        <v>450</v>
      </c>
      <c r="L240" s="592">
        <v>500</v>
      </c>
    </row>
    <row r="241" spans="2:14" s="578" customFormat="1">
      <c r="B241" s="590" t="s">
        <v>835</v>
      </c>
      <c r="C241" s="589">
        <v>250</v>
      </c>
      <c r="D241" s="713"/>
      <c r="E241" s="588">
        <v>100</v>
      </c>
      <c r="F241" s="588">
        <v>150</v>
      </c>
      <c r="G241" s="588">
        <v>150</v>
      </c>
      <c r="H241" s="588">
        <v>200</v>
      </c>
      <c r="I241" s="588">
        <v>250</v>
      </c>
      <c r="J241" s="588">
        <v>250</v>
      </c>
      <c r="K241" s="588">
        <v>300</v>
      </c>
      <c r="L241" s="592">
        <v>300</v>
      </c>
    </row>
    <row r="242" spans="2:14" s="578" customFormat="1">
      <c r="B242" s="591"/>
      <c r="C242" s="714" t="s">
        <v>834</v>
      </c>
      <c r="D242" s="714"/>
      <c r="E242" s="714"/>
      <c r="F242" s="715" t="s">
        <v>833</v>
      </c>
      <c r="G242" s="716"/>
      <c r="H242" s="716"/>
      <c r="I242" s="716"/>
      <c r="J242" s="716"/>
      <c r="K242" s="716"/>
      <c r="L242" s="717"/>
    </row>
    <row r="243" spans="2:14" s="578" customFormat="1">
      <c r="B243" s="590" t="s">
        <v>832</v>
      </c>
      <c r="C243" s="589" t="s">
        <v>831</v>
      </c>
      <c r="D243" s="588" t="s">
        <v>831</v>
      </c>
      <c r="E243" s="588" t="s">
        <v>831</v>
      </c>
      <c r="F243" s="588" t="s">
        <v>831</v>
      </c>
      <c r="G243" s="588" t="s">
        <v>831</v>
      </c>
      <c r="H243" s="588" t="s">
        <v>831</v>
      </c>
      <c r="I243" s="587" t="s">
        <v>830</v>
      </c>
      <c r="J243" s="587" t="s">
        <v>830</v>
      </c>
      <c r="K243" s="587" t="s">
        <v>830</v>
      </c>
      <c r="L243" s="586" t="s">
        <v>830</v>
      </c>
    </row>
    <row r="244" spans="2:14" s="578" customFormat="1" ht="15.75" thickBot="1">
      <c r="B244" s="585" t="s">
        <v>829</v>
      </c>
      <c r="C244" s="584" t="s">
        <v>828</v>
      </c>
      <c r="D244" s="583" t="s">
        <v>827</v>
      </c>
      <c r="E244" s="583" t="s">
        <v>827</v>
      </c>
      <c r="F244" s="583" t="s">
        <v>827</v>
      </c>
      <c r="G244" s="583" t="s">
        <v>827</v>
      </c>
      <c r="H244" s="583" t="s">
        <v>827</v>
      </c>
      <c r="I244" s="583" t="s">
        <v>827</v>
      </c>
      <c r="J244" s="583" t="s">
        <v>827</v>
      </c>
      <c r="K244" s="582" t="s">
        <v>826</v>
      </c>
      <c r="L244" s="582" t="s">
        <v>826</v>
      </c>
    </row>
    <row r="245" spans="2:14" s="578" customFormat="1"/>
    <row r="246" spans="2:14" s="578" customFormat="1">
      <c r="G246" s="579"/>
    </row>
    <row r="247" spans="2:14" s="578" customFormat="1">
      <c r="G247" s="579"/>
      <c r="N247" s="581" t="s">
        <v>914</v>
      </c>
    </row>
    <row r="248" spans="2:14" s="578" customFormat="1" ht="15" customHeight="1">
      <c r="G248" s="579"/>
      <c r="N248" s="578" t="s">
        <v>825</v>
      </c>
    </row>
    <row r="249" spans="2:14" s="578" customFormat="1">
      <c r="G249" s="579"/>
      <c r="N249" s="578" t="s">
        <v>824</v>
      </c>
    </row>
    <row r="250" spans="2:14" s="578" customFormat="1">
      <c r="G250" s="579"/>
      <c r="N250" s="578" t="s">
        <v>823</v>
      </c>
    </row>
    <row r="251" spans="2:14" s="578" customFormat="1">
      <c r="G251" s="579"/>
      <c r="N251" s="578" t="s">
        <v>822</v>
      </c>
    </row>
    <row r="252" spans="2:14" s="578" customFormat="1">
      <c r="G252" s="579"/>
      <c r="N252" s="578" t="s">
        <v>821</v>
      </c>
    </row>
    <row r="253" spans="2:14" s="578" customFormat="1">
      <c r="G253" s="579"/>
      <c r="N253" s="578" t="s">
        <v>820</v>
      </c>
    </row>
    <row r="254" spans="2:14" s="578" customFormat="1">
      <c r="G254" s="579"/>
      <c r="N254" s="578" t="s">
        <v>819</v>
      </c>
    </row>
    <row r="255" spans="2:14" s="578" customFormat="1">
      <c r="G255" s="579"/>
      <c r="N255" s="578" t="s">
        <v>818</v>
      </c>
    </row>
    <row r="256" spans="2:14" s="578" customFormat="1">
      <c r="G256" s="579"/>
      <c r="N256" s="578" t="s">
        <v>817</v>
      </c>
    </row>
    <row r="257" spans="7:14" s="578" customFormat="1" ht="15" customHeight="1">
      <c r="G257" s="579"/>
      <c r="N257" s="578" t="s">
        <v>816</v>
      </c>
    </row>
    <row r="258" spans="7:14" s="578" customFormat="1">
      <c r="G258" s="579"/>
      <c r="N258" s="578" t="s">
        <v>815</v>
      </c>
    </row>
    <row r="259" spans="7:14" s="578" customFormat="1">
      <c r="G259" s="579"/>
      <c r="N259" s="578" t="s">
        <v>814</v>
      </c>
    </row>
    <row r="260" spans="7:14" s="578" customFormat="1">
      <c r="G260" s="579"/>
      <c r="N260" s="578" t="s">
        <v>813</v>
      </c>
    </row>
    <row r="261" spans="7:14" s="578" customFormat="1">
      <c r="G261" s="579"/>
      <c r="N261" s="580" t="s">
        <v>812</v>
      </c>
    </row>
    <row r="262" spans="7:14" s="578" customFormat="1">
      <c r="G262" s="579"/>
    </row>
    <row r="263" spans="7:14" s="578" customFormat="1">
      <c r="G263" s="579"/>
    </row>
    <row r="264" spans="7:14" s="578" customFormat="1">
      <c r="G264" s="579"/>
    </row>
    <row r="265" spans="7:14" s="578" customFormat="1">
      <c r="G265" s="579"/>
    </row>
    <row r="266" spans="7:14" s="578" customFormat="1">
      <c r="G266" s="579"/>
    </row>
    <row r="267" spans="7:14" s="578" customFormat="1">
      <c r="G267" s="579"/>
    </row>
    <row r="268" spans="7:14" s="578" customFormat="1">
      <c r="G268" s="579"/>
    </row>
    <row r="269" spans="7:14" s="578" customFormat="1">
      <c r="G269" s="579"/>
    </row>
    <row r="270" spans="7:14" s="578" customFormat="1">
      <c r="G270" s="579"/>
    </row>
    <row r="271" spans="7:14" s="578" customFormat="1">
      <c r="G271" s="579"/>
    </row>
    <row r="272" spans="7:14" s="578" customFormat="1">
      <c r="G272" s="579"/>
    </row>
    <row r="273" spans="7:7" s="578" customFormat="1" ht="15" customHeight="1">
      <c r="G273" s="579"/>
    </row>
    <row r="274" spans="7:7" s="578" customFormat="1">
      <c r="G274" s="579"/>
    </row>
    <row r="275" spans="7:7" s="578" customFormat="1">
      <c r="G275" s="579"/>
    </row>
    <row r="276" spans="7:7" s="578" customFormat="1">
      <c r="G276" s="579"/>
    </row>
    <row r="277" spans="7:7" s="578" customFormat="1">
      <c r="G277" s="579"/>
    </row>
    <row r="278" spans="7:7" s="578" customFormat="1">
      <c r="G278" s="579"/>
    </row>
    <row r="279" spans="7:7" s="578" customFormat="1">
      <c r="G279" s="579"/>
    </row>
    <row r="280" spans="7:7" s="578" customFormat="1">
      <c r="G280" s="579"/>
    </row>
    <row r="281" spans="7:7" s="578" customFormat="1">
      <c r="G281" s="579"/>
    </row>
    <row r="282" spans="7:7" s="578" customFormat="1">
      <c r="G282" s="579"/>
    </row>
    <row r="283" spans="7:7" s="578" customFormat="1">
      <c r="G283" s="579"/>
    </row>
    <row r="284" spans="7:7" s="578" customFormat="1">
      <c r="G284" s="579"/>
    </row>
    <row r="285" spans="7:7" s="578" customFormat="1" ht="15" customHeight="1">
      <c r="G285" s="579"/>
    </row>
    <row r="286" spans="7:7" s="578" customFormat="1">
      <c r="G286" s="579"/>
    </row>
    <row r="287" spans="7:7" s="578" customFormat="1">
      <c r="G287" s="579"/>
    </row>
    <row r="288" spans="7:7" s="578" customFormat="1">
      <c r="G288" s="579"/>
    </row>
    <row r="289" spans="2:12" s="578" customFormat="1">
      <c r="G289" s="579"/>
    </row>
    <row r="290" spans="2:12" s="578" customFormat="1">
      <c r="G290" s="579"/>
    </row>
    <row r="291" spans="2:12" s="578" customFormat="1">
      <c r="G291" s="579"/>
    </row>
    <row r="292" spans="2:12" s="578" customFormat="1">
      <c r="G292" s="579"/>
    </row>
    <row r="293" spans="2:12" s="578" customFormat="1">
      <c r="G293" s="579"/>
    </row>
    <row r="294" spans="2:12" s="578" customFormat="1">
      <c r="G294" s="579"/>
    </row>
    <row r="295" spans="2:12" s="578" customFormat="1">
      <c r="G295" s="579"/>
    </row>
    <row r="296" spans="2:12" s="578" customFormat="1">
      <c r="G296" s="579"/>
    </row>
    <row r="297" spans="2:12" s="578" customFormat="1">
      <c r="G297" s="579"/>
    </row>
    <row r="298" spans="2:12" s="578" customFormat="1">
      <c r="G298" s="579"/>
    </row>
    <row r="299" spans="2:12">
      <c r="B299" s="578"/>
      <c r="C299" s="578"/>
      <c r="D299" s="578"/>
      <c r="E299" s="578"/>
      <c r="F299" s="578"/>
      <c r="G299" s="579"/>
      <c r="H299" s="578"/>
      <c r="I299" s="578"/>
      <c r="J299" s="578"/>
      <c r="K299" s="578"/>
      <c r="L299" s="578"/>
    </row>
    <row r="300" spans="2:12">
      <c r="B300" s="578"/>
      <c r="C300" s="578"/>
      <c r="D300" s="578"/>
      <c r="E300" s="578"/>
      <c r="F300" s="578"/>
      <c r="G300" s="579"/>
      <c r="H300" s="578"/>
      <c r="I300" s="578"/>
      <c r="J300" s="578"/>
      <c r="K300" s="578"/>
      <c r="L300" s="578"/>
    </row>
    <row r="301" spans="2:12">
      <c r="B301" s="578"/>
      <c r="C301" s="578"/>
      <c r="D301" s="578"/>
      <c r="E301" s="578"/>
      <c r="F301" s="578"/>
      <c r="G301" s="579"/>
      <c r="H301" s="578"/>
      <c r="I301" s="578"/>
      <c r="J301" s="578"/>
      <c r="K301" s="578"/>
      <c r="L301" s="578"/>
    </row>
    <row r="302" spans="2:12">
      <c r="B302" s="578"/>
      <c r="C302" s="578"/>
      <c r="D302" s="578"/>
      <c r="E302" s="578"/>
      <c r="F302" s="578"/>
      <c r="G302" s="579"/>
      <c r="H302" s="578"/>
      <c r="I302" s="578"/>
      <c r="J302" s="578"/>
      <c r="K302" s="578"/>
      <c r="L302" s="578"/>
    </row>
    <row r="303" spans="2:12">
      <c r="B303" s="578"/>
      <c r="C303" s="578"/>
      <c r="D303" s="578"/>
      <c r="E303" s="578"/>
      <c r="F303" s="578"/>
      <c r="G303" s="579"/>
      <c r="H303" s="578"/>
      <c r="I303" s="578"/>
      <c r="J303" s="578"/>
      <c r="K303" s="578"/>
      <c r="L303" s="578"/>
    </row>
    <row r="304" spans="2:12">
      <c r="B304" s="578"/>
      <c r="C304" s="578"/>
      <c r="D304" s="578"/>
      <c r="E304" s="578"/>
      <c r="F304" s="578"/>
      <c r="G304" s="579"/>
      <c r="H304" s="578"/>
      <c r="I304" s="578"/>
      <c r="J304" s="578"/>
      <c r="K304" s="578"/>
      <c r="L304" s="578"/>
    </row>
    <row r="305" spans="2:12">
      <c r="B305" s="578"/>
      <c r="C305" s="578"/>
      <c r="D305" s="578"/>
      <c r="E305" s="578"/>
      <c r="F305" s="578"/>
      <c r="G305" s="579"/>
      <c r="H305" s="578"/>
      <c r="I305" s="578"/>
      <c r="J305" s="578"/>
      <c r="K305" s="578"/>
      <c r="L305" s="578"/>
    </row>
    <row r="306" spans="2:12">
      <c r="B306" s="578"/>
      <c r="C306" s="578"/>
      <c r="D306" s="578"/>
      <c r="E306" s="578"/>
      <c r="F306" s="578"/>
      <c r="G306" s="579"/>
      <c r="H306" s="578"/>
      <c r="I306" s="578"/>
      <c r="J306" s="578"/>
      <c r="K306" s="578"/>
      <c r="L306" s="578"/>
    </row>
    <row r="307" spans="2:12">
      <c r="B307" s="578"/>
      <c r="C307" s="578"/>
      <c r="D307" s="578"/>
      <c r="E307" s="578"/>
      <c r="F307" s="578"/>
      <c r="G307" s="579"/>
      <c r="H307" s="578"/>
      <c r="I307" s="578"/>
      <c r="J307" s="578"/>
      <c r="K307" s="578"/>
      <c r="L307" s="578"/>
    </row>
    <row r="308" spans="2:12">
      <c r="B308" s="578"/>
      <c r="C308" s="578"/>
      <c r="D308" s="578"/>
      <c r="E308" s="578"/>
      <c r="F308" s="578"/>
      <c r="G308" s="579"/>
      <c r="H308" s="578"/>
      <c r="I308" s="578"/>
      <c r="J308" s="578"/>
      <c r="K308" s="578"/>
      <c r="L308" s="578"/>
    </row>
    <row r="309" spans="2:12">
      <c r="B309" s="578"/>
      <c r="C309" s="578"/>
      <c r="D309" s="578"/>
      <c r="E309" s="578"/>
      <c r="F309" s="578"/>
      <c r="G309" s="579"/>
      <c r="H309" s="578"/>
      <c r="I309" s="578"/>
      <c r="J309" s="578"/>
      <c r="K309" s="578"/>
      <c r="L309" s="578"/>
    </row>
    <row r="310" spans="2:12">
      <c r="B310" s="578"/>
      <c r="C310" s="578"/>
      <c r="D310" s="578"/>
      <c r="E310" s="578"/>
      <c r="F310" s="578"/>
      <c r="G310" s="579"/>
      <c r="H310" s="578"/>
      <c r="I310" s="578"/>
      <c r="J310" s="578"/>
      <c r="K310" s="578"/>
      <c r="L310" s="578"/>
    </row>
    <row r="311" spans="2:12">
      <c r="B311" s="578"/>
      <c r="C311" s="578"/>
      <c r="D311" s="578"/>
      <c r="E311" s="578"/>
      <c r="F311" s="578"/>
      <c r="G311" s="579"/>
      <c r="H311" s="578"/>
      <c r="I311" s="578"/>
      <c r="J311" s="578"/>
      <c r="K311" s="578"/>
      <c r="L311" s="578"/>
    </row>
    <row r="312" spans="2:12">
      <c r="B312" s="578"/>
      <c r="C312" s="578"/>
      <c r="D312" s="578"/>
      <c r="E312" s="578"/>
      <c r="F312" s="578"/>
      <c r="G312" s="579"/>
      <c r="H312" s="578"/>
      <c r="I312" s="578"/>
      <c r="J312" s="578"/>
      <c r="K312" s="578"/>
      <c r="L312" s="578"/>
    </row>
    <row r="313" spans="2:12">
      <c r="B313" s="578"/>
      <c r="C313" s="578"/>
      <c r="D313" s="578"/>
      <c r="E313" s="578"/>
      <c r="F313" s="578"/>
      <c r="G313" s="579"/>
      <c r="H313" s="578"/>
      <c r="I313" s="578"/>
      <c r="J313" s="578"/>
      <c r="K313" s="578"/>
      <c r="L313" s="578"/>
    </row>
    <row r="314" spans="2:12">
      <c r="B314" s="578"/>
      <c r="C314" s="578"/>
      <c r="D314" s="578"/>
      <c r="E314" s="578"/>
      <c r="F314" s="578"/>
      <c r="G314" s="579"/>
      <c r="H314" s="578"/>
      <c r="I314" s="578"/>
      <c r="J314" s="578"/>
      <c r="K314" s="578"/>
      <c r="L314" s="578"/>
    </row>
    <row r="315" spans="2:12">
      <c r="B315" s="578"/>
      <c r="C315" s="578"/>
      <c r="D315" s="578"/>
      <c r="E315" s="578"/>
      <c r="F315" s="578"/>
      <c r="G315" s="579"/>
      <c r="H315" s="578"/>
      <c r="I315" s="578"/>
      <c r="J315" s="578"/>
      <c r="K315" s="578"/>
      <c r="L315" s="578"/>
    </row>
    <row r="316" spans="2:12">
      <c r="B316" s="578"/>
      <c r="C316" s="578"/>
      <c r="D316" s="578"/>
      <c r="E316" s="578"/>
      <c r="F316" s="578"/>
      <c r="G316" s="579"/>
      <c r="H316" s="578"/>
      <c r="I316" s="578"/>
      <c r="J316" s="578"/>
      <c r="K316" s="578"/>
      <c r="L316" s="578"/>
    </row>
    <row r="317" spans="2:12">
      <c r="B317" s="578"/>
      <c r="C317" s="578"/>
      <c r="D317" s="578"/>
      <c r="E317" s="578"/>
      <c r="F317" s="578"/>
      <c r="G317" s="579"/>
      <c r="H317" s="578"/>
      <c r="I317" s="578"/>
      <c r="J317" s="578"/>
      <c r="K317" s="578"/>
      <c r="L317" s="578"/>
    </row>
    <row r="318" spans="2:12">
      <c r="B318" s="578"/>
      <c r="C318" s="578"/>
      <c r="D318" s="578"/>
      <c r="E318" s="578"/>
      <c r="F318" s="578"/>
      <c r="G318" s="579"/>
      <c r="H318" s="578"/>
      <c r="I318" s="578"/>
      <c r="J318" s="578"/>
      <c r="K318" s="578"/>
      <c r="L318" s="578"/>
    </row>
    <row r="319" spans="2:12">
      <c r="B319" s="578"/>
      <c r="C319" s="578"/>
      <c r="D319" s="578"/>
      <c r="E319" s="578"/>
      <c r="F319" s="578"/>
      <c r="G319" s="579"/>
      <c r="H319" s="578"/>
      <c r="I319" s="578"/>
      <c r="J319" s="578"/>
      <c r="K319" s="578"/>
      <c r="L319" s="578"/>
    </row>
    <row r="320" spans="2:12">
      <c r="B320" s="578"/>
      <c r="C320" s="578"/>
      <c r="D320" s="578"/>
      <c r="E320" s="578"/>
      <c r="F320" s="578"/>
      <c r="G320" s="579"/>
      <c r="H320" s="578"/>
      <c r="I320" s="578"/>
      <c r="J320" s="578"/>
      <c r="K320" s="578"/>
      <c r="L320" s="578"/>
    </row>
    <row r="321" spans="2:10">
      <c r="B321" s="578"/>
      <c r="C321" s="578"/>
      <c r="D321" s="578"/>
      <c r="E321" s="578"/>
      <c r="F321" s="578"/>
      <c r="G321" s="578"/>
      <c r="H321" s="578"/>
      <c r="I321" s="578"/>
      <c r="J321" s="578"/>
    </row>
    <row r="322" spans="2:10">
      <c r="C322" s="578"/>
      <c r="D322" s="578"/>
      <c r="E322" s="578"/>
      <c r="F322" s="578"/>
      <c r="G322" s="578"/>
      <c r="H322" s="578"/>
      <c r="I322" s="578"/>
      <c r="J322" s="578"/>
    </row>
  </sheetData>
  <mergeCells count="150">
    <mergeCell ref="C215:E215"/>
    <mergeCell ref="F215:L215"/>
    <mergeCell ref="C219:E219"/>
    <mergeCell ref="F219:L219"/>
    <mergeCell ref="D220:D222"/>
    <mergeCell ref="C223:E223"/>
    <mergeCell ref="F223:L223"/>
    <mergeCell ref="D239:D241"/>
    <mergeCell ref="C242:E242"/>
    <mergeCell ref="F242:L242"/>
    <mergeCell ref="G231:L231"/>
    <mergeCell ref="G232:L232"/>
    <mergeCell ref="G233:L233"/>
    <mergeCell ref="C234:E234"/>
    <mergeCell ref="F234:L234"/>
    <mergeCell ref="C238:E238"/>
    <mergeCell ref="F238:L238"/>
    <mergeCell ref="F173:L173"/>
    <mergeCell ref="C177:E177"/>
    <mergeCell ref="F177:L177"/>
    <mergeCell ref="D178:D180"/>
    <mergeCell ref="C181:E181"/>
    <mergeCell ref="F181:L181"/>
    <mergeCell ref="B226:L226"/>
    <mergeCell ref="C230:E230"/>
    <mergeCell ref="F230:L230"/>
    <mergeCell ref="G189:L189"/>
    <mergeCell ref="G190:L190"/>
    <mergeCell ref="G191:L191"/>
    <mergeCell ref="C192:E192"/>
    <mergeCell ref="F192:L192"/>
    <mergeCell ref="C196:E196"/>
    <mergeCell ref="F196:L196"/>
    <mergeCell ref="D197:D199"/>
    <mergeCell ref="C200:E200"/>
    <mergeCell ref="F200:L200"/>
    <mergeCell ref="C211:E211"/>
    <mergeCell ref="F211:L211"/>
    <mergeCell ref="G212:L212"/>
    <mergeCell ref="G213:L213"/>
    <mergeCell ref="G214:L214"/>
    <mergeCell ref="C136:E136"/>
    <mergeCell ref="F136:L136"/>
    <mergeCell ref="D137:D139"/>
    <mergeCell ref="C140:E140"/>
    <mergeCell ref="F140:L140"/>
    <mergeCell ref="B184:L184"/>
    <mergeCell ref="C188:E188"/>
    <mergeCell ref="F188:L188"/>
    <mergeCell ref="G148:L148"/>
    <mergeCell ref="G149:L149"/>
    <mergeCell ref="G150:L150"/>
    <mergeCell ref="C151:E151"/>
    <mergeCell ref="F151:L151"/>
    <mergeCell ref="C155:E155"/>
    <mergeCell ref="F155:L155"/>
    <mergeCell ref="D156:D158"/>
    <mergeCell ref="C159:E159"/>
    <mergeCell ref="F159:L159"/>
    <mergeCell ref="C169:E169"/>
    <mergeCell ref="F169:L169"/>
    <mergeCell ref="G170:L170"/>
    <mergeCell ref="G171:L171"/>
    <mergeCell ref="G172:L172"/>
    <mergeCell ref="C173:E173"/>
    <mergeCell ref="F96:L96"/>
    <mergeCell ref="D97:D99"/>
    <mergeCell ref="C100:E100"/>
    <mergeCell ref="F100:L100"/>
    <mergeCell ref="B143:L143"/>
    <mergeCell ref="C147:E147"/>
    <mergeCell ref="F147:L147"/>
    <mergeCell ref="G108:L108"/>
    <mergeCell ref="G109:L109"/>
    <mergeCell ref="G110:L110"/>
    <mergeCell ref="C111:E111"/>
    <mergeCell ref="F111:L111"/>
    <mergeCell ref="C115:E115"/>
    <mergeCell ref="F115:L115"/>
    <mergeCell ref="D116:D118"/>
    <mergeCell ref="C119:E119"/>
    <mergeCell ref="F119:L119"/>
    <mergeCell ref="C128:E128"/>
    <mergeCell ref="F128:L128"/>
    <mergeCell ref="G129:L129"/>
    <mergeCell ref="G130:L130"/>
    <mergeCell ref="G131:L131"/>
    <mergeCell ref="C132:E132"/>
    <mergeCell ref="F132:L132"/>
    <mergeCell ref="D56:D58"/>
    <mergeCell ref="C59:E59"/>
    <mergeCell ref="F59:L59"/>
    <mergeCell ref="B103:L103"/>
    <mergeCell ref="C107:E107"/>
    <mergeCell ref="F107:L107"/>
    <mergeCell ref="G67:L67"/>
    <mergeCell ref="G68:L68"/>
    <mergeCell ref="G69:L69"/>
    <mergeCell ref="C70:E70"/>
    <mergeCell ref="F70:L70"/>
    <mergeCell ref="C74:E74"/>
    <mergeCell ref="F74:L74"/>
    <mergeCell ref="D75:D77"/>
    <mergeCell ref="C78:E78"/>
    <mergeCell ref="F78:L78"/>
    <mergeCell ref="C88:E88"/>
    <mergeCell ref="F88:L88"/>
    <mergeCell ref="G89:L89"/>
    <mergeCell ref="G90:L90"/>
    <mergeCell ref="G91:L91"/>
    <mergeCell ref="C92:E92"/>
    <mergeCell ref="F92:L92"/>
    <mergeCell ref="C96:E96"/>
    <mergeCell ref="B62:L62"/>
    <mergeCell ref="C66:E66"/>
    <mergeCell ref="F66:L66"/>
    <mergeCell ref="C25:E25"/>
    <mergeCell ref="F25:L25"/>
    <mergeCell ref="G26:L26"/>
    <mergeCell ref="G27:L27"/>
    <mergeCell ref="G28:L28"/>
    <mergeCell ref="C29:E29"/>
    <mergeCell ref="F29:L29"/>
    <mergeCell ref="C33:E33"/>
    <mergeCell ref="F33:L33"/>
    <mergeCell ref="D34:D36"/>
    <mergeCell ref="C37:E37"/>
    <mergeCell ref="F37:L37"/>
    <mergeCell ref="C47:E47"/>
    <mergeCell ref="F47:L47"/>
    <mergeCell ref="G48:L48"/>
    <mergeCell ref="G49:L49"/>
    <mergeCell ref="G50:L50"/>
    <mergeCell ref="C51:E51"/>
    <mergeCell ref="F51:L51"/>
    <mergeCell ref="C55:E55"/>
    <mergeCell ref="F55:L55"/>
    <mergeCell ref="D15:D17"/>
    <mergeCell ref="C18:E18"/>
    <mergeCell ref="F18:L18"/>
    <mergeCell ref="B21:L21"/>
    <mergeCell ref="C6:E6"/>
    <mergeCell ref="F6:L6"/>
    <mergeCell ref="G7:L7"/>
    <mergeCell ref="G8:L8"/>
    <mergeCell ref="G9:L9"/>
    <mergeCell ref="C10:E10"/>
    <mergeCell ref="F10:L10"/>
    <mergeCell ref="C14:E14"/>
    <mergeCell ref="F14:L14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E1000"/>
  <sheetViews>
    <sheetView workbookViewId="0">
      <selection activeCell="AB29" sqref="AB29"/>
    </sheetView>
  </sheetViews>
  <sheetFormatPr defaultColWidth="14.42578125" defaultRowHeight="15" customHeight="1"/>
  <cols>
    <col min="1" max="1" width="9.7109375" style="257" customWidth="1"/>
    <col min="2" max="20" width="6.140625" style="257" customWidth="1"/>
    <col min="21" max="21" width="6.7109375" style="257" customWidth="1"/>
    <col min="22" max="22" width="8.7109375" style="257" customWidth="1"/>
    <col min="23" max="23" width="9.28515625" style="257" customWidth="1"/>
    <col min="24" max="28" width="9.140625" style="257" customWidth="1"/>
    <col min="29" max="31" width="9.140625" style="257" hidden="1" customWidth="1"/>
    <col min="32" max="16384" width="14.42578125" style="257"/>
  </cols>
  <sheetData>
    <row r="1" spans="1:31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</row>
    <row r="2" spans="1:31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</row>
    <row r="3" spans="1:31">
      <c r="A3" s="335"/>
      <c r="B3" s="684" t="s">
        <v>387</v>
      </c>
      <c r="C3" s="677"/>
      <c r="D3" s="677"/>
      <c r="E3" s="677"/>
      <c r="F3" s="677"/>
      <c r="G3" s="677"/>
      <c r="H3" s="678"/>
      <c r="I3" s="335"/>
      <c r="J3" s="684" t="s">
        <v>386</v>
      </c>
      <c r="K3" s="677"/>
      <c r="L3" s="677"/>
      <c r="M3" s="677"/>
      <c r="N3" s="677"/>
      <c r="O3" s="677"/>
      <c r="P3" s="678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</row>
    <row r="4" spans="1:31">
      <c r="A4" s="335"/>
      <c r="B4" s="736" t="s">
        <v>315</v>
      </c>
      <c r="C4" s="726"/>
      <c r="D4" s="736" t="s">
        <v>361</v>
      </c>
      <c r="E4" s="726"/>
      <c r="F4" s="736" t="s">
        <v>385</v>
      </c>
      <c r="G4" s="673"/>
      <c r="H4" s="726"/>
      <c r="I4" s="335"/>
      <c r="J4" s="736" t="s">
        <v>315</v>
      </c>
      <c r="K4" s="726"/>
      <c r="L4" s="736" t="s">
        <v>361</v>
      </c>
      <c r="M4" s="726"/>
      <c r="N4" s="736" t="s">
        <v>385</v>
      </c>
      <c r="O4" s="673"/>
      <c r="P4" s="726"/>
      <c r="Q4" s="335"/>
      <c r="R4" s="335"/>
      <c r="S4" s="335"/>
      <c r="T4" s="335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</row>
    <row r="5" spans="1:31" ht="19.5" customHeight="1">
      <c r="A5" s="335"/>
      <c r="B5" s="727"/>
      <c r="C5" s="728"/>
      <c r="D5" s="727"/>
      <c r="E5" s="728"/>
      <c r="F5" s="727"/>
      <c r="G5" s="674"/>
      <c r="H5" s="728"/>
      <c r="I5" s="335"/>
      <c r="J5" s="727"/>
      <c r="K5" s="728"/>
      <c r="L5" s="727"/>
      <c r="M5" s="728"/>
      <c r="N5" s="727"/>
      <c r="O5" s="674"/>
      <c r="P5" s="728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</row>
    <row r="6" spans="1:31" ht="16.5" customHeight="1">
      <c r="A6" s="335"/>
      <c r="B6" s="685">
        <v>18</v>
      </c>
      <c r="C6" s="678"/>
      <c r="D6" s="685">
        <v>2</v>
      </c>
      <c r="E6" s="678"/>
      <c r="F6" s="732">
        <f>VLOOKUP(B6,$A$26:$B$50,2,FALSE)*D6</f>
        <v>5.09</v>
      </c>
      <c r="G6" s="677"/>
      <c r="H6" s="678"/>
      <c r="I6" s="335"/>
      <c r="J6" s="685">
        <v>18</v>
      </c>
      <c r="K6" s="678"/>
      <c r="L6" s="685">
        <v>5</v>
      </c>
      <c r="M6" s="678"/>
      <c r="N6" s="732">
        <f>VLOOKUP(J6,$A$26:$B$50,2,FALSE)*L6</f>
        <v>12.725</v>
      </c>
      <c r="O6" s="677"/>
      <c r="P6" s="678"/>
      <c r="Q6" s="335"/>
      <c r="R6" s="731" t="s">
        <v>384</v>
      </c>
      <c r="S6" s="677"/>
      <c r="T6" s="677"/>
      <c r="U6" s="677"/>
      <c r="V6" s="678"/>
      <c r="W6" s="395">
        <v>1.6</v>
      </c>
      <c r="X6" s="335"/>
      <c r="Y6" s="335"/>
      <c r="Z6" s="335"/>
      <c r="AA6" s="335"/>
      <c r="AB6" s="335"/>
      <c r="AC6" s="335"/>
      <c r="AD6" s="335"/>
      <c r="AE6" s="335"/>
    </row>
    <row r="7" spans="1:31" ht="16.5" customHeight="1">
      <c r="A7" s="335"/>
      <c r="B7" s="685">
        <v>12</v>
      </c>
      <c r="C7" s="678"/>
      <c r="D7" s="685">
        <v>3</v>
      </c>
      <c r="E7" s="678"/>
      <c r="F7" s="732">
        <f>VLOOKUP(B7,$A$26:$B$50,2,FALSE)*D7</f>
        <v>3.3929999999999998</v>
      </c>
      <c r="G7" s="677"/>
      <c r="H7" s="678"/>
      <c r="I7" s="335"/>
      <c r="J7" s="685">
        <v>12</v>
      </c>
      <c r="K7" s="678"/>
      <c r="L7" s="685">
        <v>3</v>
      </c>
      <c r="M7" s="678"/>
      <c r="N7" s="732">
        <f>VLOOKUP(J7,$A$26:$B$50,2,FALSE)*L7</f>
        <v>3.3929999999999998</v>
      </c>
      <c r="O7" s="677"/>
      <c r="P7" s="678"/>
      <c r="Q7" s="335"/>
      <c r="R7" s="731" t="s">
        <v>383</v>
      </c>
      <c r="S7" s="677"/>
      <c r="T7" s="677"/>
      <c r="U7" s="677"/>
      <c r="V7" s="677"/>
      <c r="W7" s="396">
        <v>0.3</v>
      </c>
      <c r="X7" s="335"/>
      <c r="Y7" s="335"/>
      <c r="Z7" s="335"/>
      <c r="AA7" s="335"/>
      <c r="AB7" s="335"/>
      <c r="AC7" s="335"/>
      <c r="AD7" s="335"/>
      <c r="AE7" s="335"/>
    </row>
    <row r="8" spans="1:31" ht="16.5" customHeight="1">
      <c r="A8" s="335"/>
      <c r="B8" s="685">
        <v>10</v>
      </c>
      <c r="C8" s="678"/>
      <c r="D8" s="685">
        <v>0</v>
      </c>
      <c r="E8" s="678"/>
      <c r="F8" s="732">
        <f>VLOOKUP(B8,$A$26:$B$50,2,FALSE)*D8</f>
        <v>0</v>
      </c>
      <c r="G8" s="677"/>
      <c r="H8" s="678"/>
      <c r="I8" s="335"/>
      <c r="J8" s="685">
        <v>10</v>
      </c>
      <c r="K8" s="678"/>
      <c r="L8" s="685">
        <v>0</v>
      </c>
      <c r="M8" s="678"/>
      <c r="N8" s="732">
        <f>VLOOKUP(J8,$A$26:$B$50,2,FALSE)*L8</f>
        <v>0</v>
      </c>
      <c r="O8" s="677"/>
      <c r="P8" s="678"/>
      <c r="Q8" s="335"/>
      <c r="R8" s="733" t="s">
        <v>382</v>
      </c>
      <c r="S8" s="674"/>
      <c r="T8" s="674"/>
      <c r="U8" s="674"/>
      <c r="V8" s="674"/>
      <c r="W8" s="387">
        <f>W6*W7</f>
        <v>0.48</v>
      </c>
      <c r="X8" s="335"/>
      <c r="Y8" s="335"/>
      <c r="Z8" s="335"/>
      <c r="AA8" s="335"/>
      <c r="AB8" s="335"/>
      <c r="AC8" s="335"/>
      <c r="AD8" s="335"/>
      <c r="AE8" s="335"/>
    </row>
    <row r="9" spans="1:31" ht="17.25">
      <c r="A9" s="335"/>
      <c r="B9" s="685">
        <v>10</v>
      </c>
      <c r="C9" s="678"/>
      <c r="D9" s="685">
        <v>0</v>
      </c>
      <c r="E9" s="678"/>
      <c r="F9" s="732">
        <f>VLOOKUP(B9,$A$26:$B$50,2,FALSE)*D9</f>
        <v>0</v>
      </c>
      <c r="G9" s="677"/>
      <c r="H9" s="678"/>
      <c r="I9" s="335"/>
      <c r="J9" s="685">
        <v>10</v>
      </c>
      <c r="K9" s="678"/>
      <c r="L9" s="685">
        <v>0</v>
      </c>
      <c r="M9" s="678"/>
      <c r="N9" s="732">
        <f>VLOOKUP(J9,$A$26:$B$50,2,FALSE)*L9</f>
        <v>0</v>
      </c>
      <c r="O9" s="677"/>
      <c r="P9" s="678"/>
      <c r="Q9" s="335"/>
      <c r="R9" s="733" t="s">
        <v>381</v>
      </c>
      <c r="S9" s="674"/>
      <c r="T9" s="674"/>
      <c r="U9" s="674"/>
      <c r="V9" s="674"/>
      <c r="W9" s="394">
        <f>W6-W8</f>
        <v>1.1200000000000001</v>
      </c>
      <c r="X9" s="335" t="s">
        <v>380</v>
      </c>
      <c r="Y9" s="335"/>
      <c r="Z9" s="335"/>
      <c r="AA9" s="335"/>
      <c r="AB9" s="335"/>
      <c r="AC9" s="335"/>
      <c r="AD9" s="335"/>
      <c r="AE9" s="335"/>
    </row>
    <row r="10" spans="1:31" ht="17.25">
      <c r="A10" s="335"/>
      <c r="B10" s="685">
        <v>10</v>
      </c>
      <c r="C10" s="678"/>
      <c r="D10" s="685">
        <v>0</v>
      </c>
      <c r="E10" s="678"/>
      <c r="F10" s="732">
        <f>VLOOKUP(B10,$A$26:$B$50,2,FALSE)*D10</f>
        <v>0</v>
      </c>
      <c r="G10" s="677"/>
      <c r="H10" s="678"/>
      <c r="I10" s="335"/>
      <c r="J10" s="685">
        <v>10</v>
      </c>
      <c r="K10" s="678"/>
      <c r="L10" s="685">
        <v>0</v>
      </c>
      <c r="M10" s="678"/>
      <c r="N10" s="732">
        <f>VLOOKUP(J10,$A$26:$B$50,2,FALSE)*L10</f>
        <v>0</v>
      </c>
      <c r="O10" s="677"/>
      <c r="P10" s="678"/>
      <c r="Q10" s="335"/>
      <c r="R10" s="731" t="s">
        <v>379</v>
      </c>
      <c r="S10" s="677"/>
      <c r="T10" s="677"/>
      <c r="U10" s="677"/>
      <c r="V10" s="678"/>
      <c r="W10" s="395">
        <v>2.4</v>
      </c>
      <c r="X10" s="335"/>
      <c r="Y10" s="335"/>
      <c r="Z10" s="335"/>
      <c r="AA10" s="335"/>
      <c r="AB10" s="335"/>
      <c r="AC10" s="335"/>
      <c r="AD10" s="335"/>
      <c r="AE10" s="335"/>
    </row>
    <row r="11" spans="1:31" ht="17.25">
      <c r="A11" s="335"/>
      <c r="B11" s="734" t="s">
        <v>378</v>
      </c>
      <c r="C11" s="673"/>
      <c r="D11" s="673"/>
      <c r="E11" s="726"/>
      <c r="F11" s="737">
        <f>SUM(F6:H10)</f>
        <v>8.4830000000000005</v>
      </c>
      <c r="G11" s="673"/>
      <c r="H11" s="726"/>
      <c r="I11" s="335"/>
      <c r="J11" s="734" t="s">
        <v>378</v>
      </c>
      <c r="K11" s="673"/>
      <c r="L11" s="673"/>
      <c r="M11" s="726"/>
      <c r="N11" s="738">
        <f>SUM(N6:P10)</f>
        <v>16.117999999999999</v>
      </c>
      <c r="O11" s="673"/>
      <c r="P11" s="726"/>
      <c r="Q11" s="335"/>
      <c r="R11" s="733" t="s">
        <v>377</v>
      </c>
      <c r="S11" s="674"/>
      <c r="T11" s="674"/>
      <c r="U11" s="674"/>
      <c r="V11" s="674"/>
      <c r="W11" s="394">
        <f>W8+W10</f>
        <v>2.88</v>
      </c>
      <c r="X11" s="335" t="s">
        <v>376</v>
      </c>
      <c r="Y11" s="335"/>
      <c r="Z11" s="335"/>
      <c r="AA11" s="335"/>
      <c r="AB11" s="335"/>
      <c r="AC11" s="335"/>
      <c r="AD11" s="335"/>
      <c r="AE11" s="335"/>
    </row>
    <row r="12" spans="1:31">
      <c r="A12" s="335"/>
      <c r="B12" s="727"/>
      <c r="C12" s="674"/>
      <c r="D12" s="674"/>
      <c r="E12" s="728"/>
      <c r="F12" s="727"/>
      <c r="G12" s="674"/>
      <c r="H12" s="728"/>
      <c r="I12" s="335"/>
      <c r="J12" s="727"/>
      <c r="K12" s="674"/>
      <c r="L12" s="674"/>
      <c r="M12" s="728"/>
      <c r="N12" s="727"/>
      <c r="O12" s="674"/>
      <c r="P12" s="728"/>
      <c r="Q12" s="335"/>
      <c r="R12" s="335"/>
      <c r="S12" s="335"/>
      <c r="T12" s="335"/>
      <c r="U12" s="335"/>
      <c r="V12" s="335"/>
      <c r="W12" s="335"/>
      <c r="X12" s="335"/>
      <c r="Y12" s="335"/>
      <c r="Z12" s="335"/>
      <c r="AA12" s="335"/>
      <c r="AB12" s="335"/>
      <c r="AC12" s="335"/>
      <c r="AD12" s="335"/>
      <c r="AE12" s="335"/>
    </row>
    <row r="13" spans="1:31">
      <c r="A13" s="335"/>
      <c r="B13" s="723" t="s">
        <v>375</v>
      </c>
      <c r="C13" s="677"/>
      <c r="D13" s="677"/>
      <c r="E13" s="678"/>
      <c r="F13" s="735">
        <v>0.3</v>
      </c>
      <c r="G13" s="677"/>
      <c r="H13" s="678"/>
      <c r="I13" s="335"/>
      <c r="J13" s="725" t="s">
        <v>374</v>
      </c>
      <c r="K13" s="673"/>
      <c r="L13" s="673"/>
      <c r="M13" s="726"/>
      <c r="N13" s="729">
        <f>N11+F14</f>
        <v>18.6629</v>
      </c>
      <c r="O13" s="673"/>
      <c r="P13" s="726"/>
      <c r="Q13" s="335"/>
      <c r="R13" s="335" t="s">
        <v>373</v>
      </c>
      <c r="S13" s="335"/>
      <c r="T13" s="335"/>
      <c r="U13" s="335"/>
      <c r="V13" s="335"/>
      <c r="W13" s="335"/>
      <c r="X13" s="335"/>
      <c r="Y13" s="335"/>
      <c r="Z13" s="335"/>
      <c r="AA13" s="335"/>
      <c r="AB13" s="335"/>
      <c r="AC13" s="335"/>
      <c r="AD13" s="335"/>
      <c r="AE13" s="335"/>
    </row>
    <row r="14" spans="1:31">
      <c r="A14" s="335"/>
      <c r="B14" s="723" t="s">
        <v>372</v>
      </c>
      <c r="C14" s="677"/>
      <c r="D14" s="677"/>
      <c r="E14" s="678"/>
      <c r="F14" s="724">
        <f>F11*F13</f>
        <v>2.5449000000000002</v>
      </c>
      <c r="G14" s="677"/>
      <c r="H14" s="678"/>
      <c r="I14" s="335"/>
      <c r="J14" s="727"/>
      <c r="K14" s="674"/>
      <c r="L14" s="674"/>
      <c r="M14" s="728"/>
      <c r="N14" s="727"/>
      <c r="O14" s="674"/>
      <c r="P14" s="728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E14" s="335"/>
    </row>
    <row r="15" spans="1:31">
      <c r="A15" s="335"/>
      <c r="B15" s="725" t="s">
        <v>371</v>
      </c>
      <c r="C15" s="673"/>
      <c r="D15" s="673"/>
      <c r="E15" s="726"/>
      <c r="F15" s="729">
        <f>F11-F14</f>
        <v>5.9381000000000004</v>
      </c>
      <c r="G15" s="673"/>
      <c r="H15" s="726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E15" s="335"/>
    </row>
    <row r="16" spans="1:31">
      <c r="A16" s="335"/>
      <c r="B16" s="727"/>
      <c r="C16" s="674"/>
      <c r="D16" s="674"/>
      <c r="E16" s="728"/>
      <c r="F16" s="727"/>
      <c r="G16" s="674"/>
      <c r="H16" s="728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93"/>
      <c r="AE16" s="392" t="s">
        <v>370</v>
      </c>
    </row>
    <row r="17" spans="1:31">
      <c r="A17" s="335"/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86">
        <v>1</v>
      </c>
      <c r="AE17" s="385">
        <f>VLOOKUP(B20,$A$26:$B$50,2,FALSE)*C20</f>
        <v>15.709999999999999</v>
      </c>
    </row>
    <row r="18" spans="1:31">
      <c r="A18" s="335"/>
      <c r="B18" s="335"/>
      <c r="C18" s="335"/>
      <c r="D18" s="377" t="s">
        <v>369</v>
      </c>
      <c r="E18" s="335"/>
      <c r="F18" s="335"/>
      <c r="G18" s="335"/>
      <c r="H18" s="335"/>
      <c r="I18" s="335"/>
      <c r="J18" s="335"/>
      <c r="K18" s="335"/>
      <c r="L18" s="335"/>
      <c r="M18" s="335"/>
      <c r="N18" s="335"/>
      <c r="O18" s="669" t="s">
        <v>368</v>
      </c>
      <c r="P18" s="670"/>
      <c r="Q18" s="670"/>
      <c r="R18" s="670"/>
      <c r="S18" s="670"/>
      <c r="T18" s="670"/>
      <c r="U18" s="670"/>
      <c r="V18" s="670"/>
      <c r="W18" s="670"/>
      <c r="X18" s="670"/>
      <c r="Y18" s="670"/>
      <c r="Z18" s="670"/>
      <c r="AA18" s="335"/>
      <c r="AB18" s="335"/>
      <c r="AC18" s="335"/>
      <c r="AD18" s="386">
        <v>2</v>
      </c>
      <c r="AE18" s="385">
        <f>VLOOKUP(E20,$A$26:$B$50,2,FALSE)*F20</f>
        <v>10.055</v>
      </c>
    </row>
    <row r="19" spans="1:31">
      <c r="A19" s="335"/>
      <c r="B19" s="380" t="s">
        <v>367</v>
      </c>
      <c r="C19" s="380" t="s">
        <v>366</v>
      </c>
      <c r="D19" s="335"/>
      <c r="E19" s="380" t="s">
        <v>367</v>
      </c>
      <c r="F19" s="380" t="s">
        <v>366</v>
      </c>
      <c r="G19" s="335"/>
      <c r="H19" s="380" t="s">
        <v>367</v>
      </c>
      <c r="I19" s="380" t="s">
        <v>366</v>
      </c>
      <c r="J19" s="335"/>
      <c r="K19" s="669" t="s">
        <v>365</v>
      </c>
      <c r="L19" s="670"/>
      <c r="M19" s="335"/>
      <c r="N19" s="731" t="s">
        <v>364</v>
      </c>
      <c r="O19" s="677"/>
      <c r="P19" s="678"/>
      <c r="Q19" s="387">
        <v>50</v>
      </c>
      <c r="R19" s="387">
        <v>100</v>
      </c>
      <c r="S19" s="387">
        <v>150</v>
      </c>
      <c r="T19" s="387">
        <v>200</v>
      </c>
      <c r="U19" s="387">
        <v>250</v>
      </c>
      <c r="V19" s="387">
        <v>300</v>
      </c>
      <c r="W19" s="387">
        <v>350</v>
      </c>
      <c r="X19" s="387">
        <v>400</v>
      </c>
      <c r="Y19" s="387">
        <v>450</v>
      </c>
      <c r="Z19" s="387">
        <v>500</v>
      </c>
      <c r="AA19" s="335"/>
      <c r="AB19" s="335"/>
      <c r="AC19" s="335"/>
      <c r="AD19" s="391" t="s">
        <v>363</v>
      </c>
      <c r="AE19" s="385">
        <f>AE17-AE18</f>
        <v>5.6549999999999994</v>
      </c>
    </row>
    <row r="20" spans="1:31">
      <c r="A20" s="335"/>
      <c r="B20" s="390">
        <v>20</v>
      </c>
      <c r="C20" s="390">
        <v>5</v>
      </c>
      <c r="D20" s="380" t="s">
        <v>257</v>
      </c>
      <c r="E20" s="390">
        <v>16</v>
      </c>
      <c r="F20" s="390">
        <v>5</v>
      </c>
      <c r="G20" s="380" t="s">
        <v>258</v>
      </c>
      <c r="H20" s="390">
        <v>12</v>
      </c>
      <c r="I20" s="390">
        <v>5</v>
      </c>
      <c r="J20" s="389" t="s">
        <v>362</v>
      </c>
      <c r="K20" s="730">
        <f>(AE18+AE20)/AE17</f>
        <v>1.0000000000000002</v>
      </c>
      <c r="L20" s="678"/>
      <c r="M20" s="335"/>
      <c r="N20" s="731" t="s">
        <v>361</v>
      </c>
      <c r="O20" s="677"/>
      <c r="P20" s="678"/>
      <c r="Q20" s="387">
        <f t="shared" ref="Q20:Z20" si="0">1000/Q19</f>
        <v>20</v>
      </c>
      <c r="R20" s="387">
        <f t="shared" si="0"/>
        <v>10</v>
      </c>
      <c r="S20" s="387">
        <f t="shared" si="0"/>
        <v>6.666666666666667</v>
      </c>
      <c r="T20" s="387">
        <f t="shared" si="0"/>
        <v>5</v>
      </c>
      <c r="U20" s="387">
        <f t="shared" si="0"/>
        <v>4</v>
      </c>
      <c r="V20" s="388">
        <f t="shared" si="0"/>
        <v>3.3333333333333335</v>
      </c>
      <c r="W20" s="388">
        <f t="shared" si="0"/>
        <v>2.8571428571428572</v>
      </c>
      <c r="X20" s="387">
        <f t="shared" si="0"/>
        <v>2.5</v>
      </c>
      <c r="Y20" s="388">
        <f t="shared" si="0"/>
        <v>2.2222222222222223</v>
      </c>
      <c r="Z20" s="387">
        <f t="shared" si="0"/>
        <v>2</v>
      </c>
      <c r="AA20" s="335"/>
      <c r="AB20" s="335"/>
      <c r="AC20" s="335"/>
      <c r="AD20" s="386">
        <v>3</v>
      </c>
      <c r="AE20" s="385">
        <f>VLOOKUP(H20,$A$26:$B$50,2,FALSE)*I20</f>
        <v>5.6550000000000002</v>
      </c>
    </row>
    <row r="21" spans="1:31" ht="15.75" customHeight="1">
      <c r="A21" s="335"/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84" t="s">
        <v>360</v>
      </c>
      <c r="AE21" s="383">
        <f>SUM(AE19:AE20)</f>
        <v>11.309999999999999</v>
      </c>
    </row>
    <row r="22" spans="1:31" ht="15.75" customHeight="1">
      <c r="A22" s="335"/>
      <c r="B22" s="335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</row>
    <row r="23" spans="1:31" ht="15.75" customHeight="1" thickBot="1">
      <c r="A23" s="335"/>
      <c r="B23" s="335"/>
      <c r="C23" s="335"/>
      <c r="D23" s="335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5"/>
      <c r="W23" s="335"/>
      <c r="X23" s="335"/>
      <c r="Y23" s="335"/>
      <c r="Z23" s="335"/>
      <c r="AA23" s="335"/>
      <c r="AB23" s="335"/>
      <c r="AC23" s="335"/>
      <c r="AD23" s="335"/>
      <c r="AE23" s="335"/>
    </row>
    <row r="24" spans="1:31" ht="15.75" customHeight="1" thickBot="1">
      <c r="A24" s="687" t="s">
        <v>315</v>
      </c>
      <c r="B24" s="691" t="s">
        <v>317</v>
      </c>
      <c r="C24" s="692"/>
      <c r="D24" s="692"/>
      <c r="E24" s="692"/>
      <c r="F24" s="692"/>
      <c r="G24" s="692"/>
      <c r="H24" s="692"/>
      <c r="I24" s="692"/>
      <c r="J24" s="692"/>
      <c r="K24" s="692"/>
      <c r="L24" s="692"/>
      <c r="M24" s="692"/>
      <c r="N24" s="692"/>
      <c r="O24" s="692"/>
      <c r="P24" s="692"/>
      <c r="Q24" s="692"/>
      <c r="R24" s="692"/>
      <c r="S24" s="692"/>
      <c r="T24" s="692"/>
      <c r="U24" s="693"/>
      <c r="V24" s="687" t="s">
        <v>316</v>
      </c>
      <c r="W24" s="687" t="s">
        <v>315</v>
      </c>
      <c r="X24" s="335"/>
      <c r="Y24" s="335"/>
      <c r="Z24" s="335"/>
      <c r="AA24" s="335"/>
      <c r="AB24" s="335"/>
      <c r="AC24" s="335"/>
      <c r="AD24" s="335"/>
      <c r="AE24" s="335"/>
    </row>
    <row r="25" spans="1:31" ht="15.75" customHeight="1" thickBot="1">
      <c r="A25" s="688"/>
      <c r="B25" s="366">
        <v>1</v>
      </c>
      <c r="C25" s="366">
        <v>2</v>
      </c>
      <c r="D25" s="366">
        <v>3</v>
      </c>
      <c r="E25" s="366">
        <v>4</v>
      </c>
      <c r="F25" s="366">
        <v>5</v>
      </c>
      <c r="G25" s="366">
        <v>6</v>
      </c>
      <c r="H25" s="366">
        <v>7</v>
      </c>
      <c r="I25" s="366">
        <v>8</v>
      </c>
      <c r="J25" s="366">
        <v>9</v>
      </c>
      <c r="K25" s="366">
        <v>10</v>
      </c>
      <c r="L25" s="366">
        <v>11</v>
      </c>
      <c r="M25" s="366">
        <v>12</v>
      </c>
      <c r="N25" s="366">
        <v>13</v>
      </c>
      <c r="O25" s="366">
        <v>14</v>
      </c>
      <c r="P25" s="366">
        <v>15</v>
      </c>
      <c r="Q25" s="366">
        <v>16</v>
      </c>
      <c r="R25" s="366">
        <v>17</v>
      </c>
      <c r="S25" s="366">
        <v>18</v>
      </c>
      <c r="T25" s="366">
        <v>19</v>
      </c>
      <c r="U25" s="366">
        <v>20</v>
      </c>
      <c r="V25" s="688"/>
      <c r="W25" s="688"/>
      <c r="X25" s="335"/>
      <c r="Y25" s="335"/>
      <c r="Z25" s="335"/>
      <c r="AA25" s="335"/>
      <c r="AB25" s="335"/>
      <c r="AC25" s="335"/>
      <c r="AD25" s="335"/>
      <c r="AE25" s="335"/>
    </row>
    <row r="26" spans="1:31" ht="15.75" customHeight="1" thickBot="1">
      <c r="A26" s="366">
        <v>3</v>
      </c>
      <c r="B26" s="373">
        <v>7.0999999999999994E-2</v>
      </c>
      <c r="C26" s="372">
        <f t="shared" ref="C26:L35" si="1">$B26*C$25</f>
        <v>0.14199999999999999</v>
      </c>
      <c r="D26" s="372">
        <f t="shared" si="1"/>
        <v>0.21299999999999997</v>
      </c>
      <c r="E26" s="372">
        <f t="shared" si="1"/>
        <v>0.28399999999999997</v>
      </c>
      <c r="F26" s="372">
        <f t="shared" si="1"/>
        <v>0.35499999999999998</v>
      </c>
      <c r="G26" s="372">
        <f t="shared" si="1"/>
        <v>0.42599999999999993</v>
      </c>
      <c r="H26" s="372">
        <f t="shared" si="1"/>
        <v>0.49699999999999994</v>
      </c>
      <c r="I26" s="372">
        <f t="shared" si="1"/>
        <v>0.56799999999999995</v>
      </c>
      <c r="J26" s="372">
        <f t="shared" si="1"/>
        <v>0.6389999999999999</v>
      </c>
      <c r="K26" s="372">
        <f t="shared" si="1"/>
        <v>0.71</v>
      </c>
      <c r="L26" s="372">
        <f t="shared" si="1"/>
        <v>0.78099999999999992</v>
      </c>
      <c r="M26" s="372">
        <f t="shared" ref="M26:U35" si="2">$B26*M$25</f>
        <v>0.85199999999999987</v>
      </c>
      <c r="N26" s="372">
        <f t="shared" si="2"/>
        <v>0.92299999999999993</v>
      </c>
      <c r="O26" s="372">
        <f t="shared" si="2"/>
        <v>0.99399999999999988</v>
      </c>
      <c r="P26" s="372">
        <f t="shared" si="2"/>
        <v>1.0649999999999999</v>
      </c>
      <c r="Q26" s="372">
        <f t="shared" si="2"/>
        <v>1.1359999999999999</v>
      </c>
      <c r="R26" s="372">
        <f t="shared" si="2"/>
        <v>1.2069999999999999</v>
      </c>
      <c r="S26" s="372">
        <f t="shared" si="2"/>
        <v>1.2779999999999998</v>
      </c>
      <c r="T26" s="372">
        <f t="shared" si="2"/>
        <v>1.349</v>
      </c>
      <c r="U26" s="371">
        <f t="shared" si="2"/>
        <v>1.42</v>
      </c>
      <c r="V26" s="367">
        <f t="shared" ref="V26:V50" si="3">((PI()*((A26/1000)^2))/4)*7850</f>
        <v>5.5488380244029717E-2</v>
      </c>
      <c r="W26" s="366">
        <v>3</v>
      </c>
      <c r="X26" s="335"/>
      <c r="Y26" s="335"/>
      <c r="Z26" s="335"/>
      <c r="AA26" s="335"/>
      <c r="AB26" s="335"/>
      <c r="AC26" s="335"/>
      <c r="AD26" s="335"/>
      <c r="AE26" s="335"/>
    </row>
    <row r="27" spans="1:31" ht="15.75" customHeight="1" thickBot="1">
      <c r="A27" s="366">
        <v>4</v>
      </c>
      <c r="B27" s="370">
        <v>0.126</v>
      </c>
      <c r="C27" s="369">
        <f t="shared" si="1"/>
        <v>0.252</v>
      </c>
      <c r="D27" s="369">
        <f t="shared" si="1"/>
        <v>0.378</v>
      </c>
      <c r="E27" s="369">
        <f t="shared" si="1"/>
        <v>0.504</v>
      </c>
      <c r="F27" s="369">
        <f t="shared" si="1"/>
        <v>0.63</v>
      </c>
      <c r="G27" s="369">
        <f t="shared" si="1"/>
        <v>0.75600000000000001</v>
      </c>
      <c r="H27" s="369">
        <f t="shared" si="1"/>
        <v>0.88200000000000001</v>
      </c>
      <c r="I27" s="369">
        <f t="shared" si="1"/>
        <v>1.008</v>
      </c>
      <c r="J27" s="369">
        <f t="shared" si="1"/>
        <v>1.1339999999999999</v>
      </c>
      <c r="K27" s="369">
        <f t="shared" si="1"/>
        <v>1.26</v>
      </c>
      <c r="L27" s="369">
        <f t="shared" si="1"/>
        <v>1.3860000000000001</v>
      </c>
      <c r="M27" s="369">
        <f t="shared" si="2"/>
        <v>1.512</v>
      </c>
      <c r="N27" s="369">
        <f t="shared" si="2"/>
        <v>1.6379999999999999</v>
      </c>
      <c r="O27" s="369">
        <f t="shared" si="2"/>
        <v>1.764</v>
      </c>
      <c r="P27" s="369">
        <f t="shared" si="2"/>
        <v>1.8900000000000001</v>
      </c>
      <c r="Q27" s="369">
        <f t="shared" si="2"/>
        <v>2.016</v>
      </c>
      <c r="R27" s="369">
        <f t="shared" si="2"/>
        <v>2.1419999999999999</v>
      </c>
      <c r="S27" s="369">
        <f t="shared" si="2"/>
        <v>2.2679999999999998</v>
      </c>
      <c r="T27" s="369">
        <f t="shared" si="2"/>
        <v>2.3940000000000001</v>
      </c>
      <c r="U27" s="368">
        <f t="shared" si="2"/>
        <v>2.52</v>
      </c>
      <c r="V27" s="367">
        <f t="shared" si="3"/>
        <v>9.8646009322719497E-2</v>
      </c>
      <c r="W27" s="366">
        <v>4</v>
      </c>
      <c r="X27" s="335"/>
      <c r="Y27" s="335"/>
      <c r="Z27" s="335"/>
      <c r="AA27" s="335"/>
      <c r="AB27" s="335"/>
      <c r="AC27" s="335"/>
      <c r="AD27" s="335"/>
      <c r="AE27" s="335"/>
    </row>
    <row r="28" spans="1:31" ht="15.75" customHeight="1" thickBot="1">
      <c r="A28" s="366">
        <v>5</v>
      </c>
      <c r="B28" s="370">
        <v>0.19600000000000001</v>
      </c>
      <c r="C28" s="369">
        <f t="shared" si="1"/>
        <v>0.39200000000000002</v>
      </c>
      <c r="D28" s="369">
        <f t="shared" si="1"/>
        <v>0.58800000000000008</v>
      </c>
      <c r="E28" s="369">
        <f t="shared" si="1"/>
        <v>0.78400000000000003</v>
      </c>
      <c r="F28" s="369">
        <f t="shared" si="1"/>
        <v>0.98</v>
      </c>
      <c r="G28" s="369">
        <f t="shared" si="1"/>
        <v>1.1760000000000002</v>
      </c>
      <c r="H28" s="369">
        <f t="shared" si="1"/>
        <v>1.3720000000000001</v>
      </c>
      <c r="I28" s="369">
        <f t="shared" si="1"/>
        <v>1.5680000000000001</v>
      </c>
      <c r="J28" s="369">
        <f t="shared" si="1"/>
        <v>1.764</v>
      </c>
      <c r="K28" s="369">
        <f t="shared" si="1"/>
        <v>1.96</v>
      </c>
      <c r="L28" s="369">
        <f t="shared" si="1"/>
        <v>2.1560000000000001</v>
      </c>
      <c r="M28" s="369">
        <f t="shared" si="2"/>
        <v>2.3520000000000003</v>
      </c>
      <c r="N28" s="369">
        <f t="shared" si="2"/>
        <v>2.548</v>
      </c>
      <c r="O28" s="369">
        <f t="shared" si="2"/>
        <v>2.7440000000000002</v>
      </c>
      <c r="P28" s="369">
        <f t="shared" si="2"/>
        <v>2.94</v>
      </c>
      <c r="Q28" s="369">
        <f t="shared" si="2"/>
        <v>3.1360000000000001</v>
      </c>
      <c r="R28" s="369">
        <f t="shared" si="2"/>
        <v>3.3320000000000003</v>
      </c>
      <c r="S28" s="369">
        <f t="shared" si="2"/>
        <v>3.528</v>
      </c>
      <c r="T28" s="369">
        <f t="shared" si="2"/>
        <v>3.7240000000000002</v>
      </c>
      <c r="U28" s="368">
        <f t="shared" si="2"/>
        <v>3.92</v>
      </c>
      <c r="V28" s="367">
        <f t="shared" si="3"/>
        <v>0.15413438956674921</v>
      </c>
      <c r="W28" s="366">
        <v>5</v>
      </c>
      <c r="X28" s="335"/>
      <c r="Y28" s="335"/>
      <c r="Z28" s="335"/>
      <c r="AA28" s="335"/>
      <c r="AB28" s="335"/>
      <c r="AC28" s="335"/>
      <c r="AD28" s="335"/>
      <c r="AE28" s="335"/>
    </row>
    <row r="29" spans="1:31" ht="15.75" customHeight="1" thickBot="1">
      <c r="A29" s="366">
        <v>6</v>
      </c>
      <c r="B29" s="370">
        <v>0.28299999999999997</v>
      </c>
      <c r="C29" s="369">
        <f t="shared" si="1"/>
        <v>0.56599999999999995</v>
      </c>
      <c r="D29" s="369">
        <f t="shared" si="1"/>
        <v>0.84899999999999998</v>
      </c>
      <c r="E29" s="369">
        <f t="shared" si="1"/>
        <v>1.1319999999999999</v>
      </c>
      <c r="F29" s="369">
        <f t="shared" si="1"/>
        <v>1.4149999999999998</v>
      </c>
      <c r="G29" s="369">
        <f t="shared" si="1"/>
        <v>1.698</v>
      </c>
      <c r="H29" s="369">
        <f t="shared" si="1"/>
        <v>1.9809999999999999</v>
      </c>
      <c r="I29" s="369">
        <f t="shared" si="1"/>
        <v>2.2639999999999998</v>
      </c>
      <c r="J29" s="369">
        <f t="shared" si="1"/>
        <v>2.5469999999999997</v>
      </c>
      <c r="K29" s="369">
        <f t="shared" si="1"/>
        <v>2.8299999999999996</v>
      </c>
      <c r="L29" s="369">
        <f t="shared" si="1"/>
        <v>3.1129999999999995</v>
      </c>
      <c r="M29" s="369">
        <f t="shared" si="2"/>
        <v>3.3959999999999999</v>
      </c>
      <c r="N29" s="369">
        <f t="shared" si="2"/>
        <v>3.6789999999999998</v>
      </c>
      <c r="O29" s="369">
        <f t="shared" si="2"/>
        <v>3.9619999999999997</v>
      </c>
      <c r="P29" s="369">
        <f t="shared" si="2"/>
        <v>4.2449999999999992</v>
      </c>
      <c r="Q29" s="369">
        <f t="shared" si="2"/>
        <v>4.5279999999999996</v>
      </c>
      <c r="R29" s="369">
        <f t="shared" si="2"/>
        <v>4.8109999999999999</v>
      </c>
      <c r="S29" s="369">
        <f t="shared" si="2"/>
        <v>5.0939999999999994</v>
      </c>
      <c r="T29" s="369">
        <f t="shared" si="2"/>
        <v>5.3769999999999998</v>
      </c>
      <c r="U29" s="368">
        <f t="shared" si="2"/>
        <v>5.6599999999999993</v>
      </c>
      <c r="V29" s="367">
        <f t="shared" si="3"/>
        <v>0.22195352097611887</v>
      </c>
      <c r="W29" s="366">
        <v>6</v>
      </c>
      <c r="X29" s="335"/>
      <c r="Y29" s="335"/>
      <c r="Z29" s="335"/>
      <c r="AA29" s="335"/>
      <c r="AB29" s="335"/>
      <c r="AC29" s="335"/>
      <c r="AD29" s="335"/>
      <c r="AE29" s="335"/>
    </row>
    <row r="30" spans="1:31" ht="15" customHeight="1" thickBot="1">
      <c r="A30" s="366">
        <v>7</v>
      </c>
      <c r="B30" s="370">
        <v>0.38500000000000001</v>
      </c>
      <c r="C30" s="369">
        <f t="shared" si="1"/>
        <v>0.77</v>
      </c>
      <c r="D30" s="369">
        <f t="shared" si="1"/>
        <v>1.155</v>
      </c>
      <c r="E30" s="369">
        <f t="shared" si="1"/>
        <v>1.54</v>
      </c>
      <c r="F30" s="369">
        <f t="shared" si="1"/>
        <v>1.925</v>
      </c>
      <c r="G30" s="369">
        <f t="shared" si="1"/>
        <v>2.31</v>
      </c>
      <c r="H30" s="369">
        <f t="shared" si="1"/>
        <v>2.6950000000000003</v>
      </c>
      <c r="I30" s="369">
        <f t="shared" si="1"/>
        <v>3.08</v>
      </c>
      <c r="J30" s="369">
        <f t="shared" si="1"/>
        <v>3.4649999999999999</v>
      </c>
      <c r="K30" s="369">
        <f t="shared" si="1"/>
        <v>3.85</v>
      </c>
      <c r="L30" s="369">
        <f t="shared" si="1"/>
        <v>4.2350000000000003</v>
      </c>
      <c r="M30" s="369">
        <f t="shared" si="2"/>
        <v>4.62</v>
      </c>
      <c r="N30" s="369">
        <f t="shared" si="2"/>
        <v>5.0049999999999999</v>
      </c>
      <c r="O30" s="369">
        <f t="shared" si="2"/>
        <v>5.3900000000000006</v>
      </c>
      <c r="P30" s="369">
        <f t="shared" si="2"/>
        <v>5.7750000000000004</v>
      </c>
      <c r="Q30" s="369">
        <f t="shared" si="2"/>
        <v>6.16</v>
      </c>
      <c r="R30" s="369">
        <f t="shared" si="2"/>
        <v>6.5449999999999999</v>
      </c>
      <c r="S30" s="369">
        <f t="shared" si="2"/>
        <v>6.93</v>
      </c>
      <c r="T30" s="369">
        <f t="shared" si="2"/>
        <v>7.3150000000000004</v>
      </c>
      <c r="U30" s="368">
        <f t="shared" si="2"/>
        <v>7.7</v>
      </c>
      <c r="V30" s="367">
        <f t="shared" si="3"/>
        <v>0.30210340355082854</v>
      </c>
      <c r="W30" s="366">
        <v>7</v>
      </c>
      <c r="X30" s="335"/>
      <c r="Y30" s="335"/>
      <c r="Z30" s="335"/>
      <c r="AA30" s="335"/>
      <c r="AB30" s="335"/>
      <c r="AC30" s="335"/>
      <c r="AD30" s="335"/>
      <c r="AE30" s="335"/>
    </row>
    <row r="31" spans="1:31" ht="15.75" customHeight="1" thickBot="1">
      <c r="A31" s="366">
        <v>8</v>
      </c>
      <c r="B31" s="370">
        <v>0.503</v>
      </c>
      <c r="C31" s="369">
        <f t="shared" si="1"/>
        <v>1.006</v>
      </c>
      <c r="D31" s="369">
        <f t="shared" si="1"/>
        <v>1.5089999999999999</v>
      </c>
      <c r="E31" s="369">
        <f t="shared" si="1"/>
        <v>2.012</v>
      </c>
      <c r="F31" s="369">
        <f t="shared" si="1"/>
        <v>2.5150000000000001</v>
      </c>
      <c r="G31" s="369">
        <f t="shared" si="1"/>
        <v>3.0179999999999998</v>
      </c>
      <c r="H31" s="369">
        <f t="shared" si="1"/>
        <v>3.5209999999999999</v>
      </c>
      <c r="I31" s="369">
        <f t="shared" si="1"/>
        <v>4.024</v>
      </c>
      <c r="J31" s="369">
        <f t="shared" si="1"/>
        <v>4.5270000000000001</v>
      </c>
      <c r="K31" s="369">
        <f t="shared" si="1"/>
        <v>5.03</v>
      </c>
      <c r="L31" s="369">
        <f t="shared" si="1"/>
        <v>5.5330000000000004</v>
      </c>
      <c r="M31" s="369">
        <f t="shared" si="2"/>
        <v>6.0359999999999996</v>
      </c>
      <c r="N31" s="369">
        <f t="shared" si="2"/>
        <v>6.5389999999999997</v>
      </c>
      <c r="O31" s="369">
        <f t="shared" si="2"/>
        <v>7.0419999999999998</v>
      </c>
      <c r="P31" s="369">
        <f t="shared" si="2"/>
        <v>7.5449999999999999</v>
      </c>
      <c r="Q31" s="369">
        <f t="shared" si="2"/>
        <v>8.048</v>
      </c>
      <c r="R31" s="369">
        <f t="shared" si="2"/>
        <v>8.5510000000000002</v>
      </c>
      <c r="S31" s="369">
        <f t="shared" si="2"/>
        <v>9.0540000000000003</v>
      </c>
      <c r="T31" s="369">
        <f t="shared" si="2"/>
        <v>9.5570000000000004</v>
      </c>
      <c r="U31" s="368">
        <f t="shared" si="2"/>
        <v>10.06</v>
      </c>
      <c r="V31" s="367">
        <f t="shared" si="3"/>
        <v>0.39458403729087799</v>
      </c>
      <c r="W31" s="366">
        <v>8</v>
      </c>
      <c r="X31" s="335"/>
      <c r="Y31" s="335"/>
      <c r="Z31" s="335"/>
      <c r="AA31" s="335"/>
      <c r="AB31" s="335"/>
      <c r="AC31" s="335"/>
      <c r="AD31" s="335"/>
      <c r="AE31" s="335"/>
    </row>
    <row r="32" spans="1:31" ht="15.75" customHeight="1" thickBot="1">
      <c r="A32" s="366">
        <v>9</v>
      </c>
      <c r="B32" s="370">
        <v>0.63600000000000001</v>
      </c>
      <c r="C32" s="369">
        <f t="shared" si="1"/>
        <v>1.272</v>
      </c>
      <c r="D32" s="369">
        <f t="shared" si="1"/>
        <v>1.9079999999999999</v>
      </c>
      <c r="E32" s="369">
        <f t="shared" si="1"/>
        <v>2.544</v>
      </c>
      <c r="F32" s="369">
        <f t="shared" si="1"/>
        <v>3.18</v>
      </c>
      <c r="G32" s="369">
        <f t="shared" si="1"/>
        <v>3.8159999999999998</v>
      </c>
      <c r="H32" s="369">
        <f t="shared" si="1"/>
        <v>4.452</v>
      </c>
      <c r="I32" s="369">
        <f t="shared" si="1"/>
        <v>5.0880000000000001</v>
      </c>
      <c r="J32" s="369">
        <f t="shared" si="1"/>
        <v>5.7240000000000002</v>
      </c>
      <c r="K32" s="369">
        <f t="shared" si="1"/>
        <v>6.36</v>
      </c>
      <c r="L32" s="369">
        <f t="shared" si="1"/>
        <v>6.9960000000000004</v>
      </c>
      <c r="M32" s="369">
        <f t="shared" si="2"/>
        <v>7.6319999999999997</v>
      </c>
      <c r="N32" s="369">
        <f t="shared" si="2"/>
        <v>8.2680000000000007</v>
      </c>
      <c r="O32" s="369">
        <f t="shared" si="2"/>
        <v>8.9039999999999999</v>
      </c>
      <c r="P32" s="369">
        <f t="shared" si="2"/>
        <v>9.5400000000000009</v>
      </c>
      <c r="Q32" s="369">
        <f t="shared" si="2"/>
        <v>10.176</v>
      </c>
      <c r="R32" s="369">
        <f t="shared" si="2"/>
        <v>10.811999999999999</v>
      </c>
      <c r="S32" s="369">
        <f t="shared" si="2"/>
        <v>11.448</v>
      </c>
      <c r="T32" s="369">
        <f t="shared" si="2"/>
        <v>12.084</v>
      </c>
      <c r="U32" s="368">
        <f t="shared" si="2"/>
        <v>12.72</v>
      </c>
      <c r="V32" s="367">
        <f t="shared" si="3"/>
        <v>0.49939542219626742</v>
      </c>
      <c r="W32" s="366">
        <v>9</v>
      </c>
      <c r="X32" s="335"/>
      <c r="Y32" s="335"/>
      <c r="Z32" s="335"/>
      <c r="AA32" s="335"/>
      <c r="AB32" s="335"/>
      <c r="AC32" s="335"/>
      <c r="AD32" s="335"/>
      <c r="AE32" s="335"/>
    </row>
    <row r="33" spans="1:31" ht="15.75" customHeight="1" thickBot="1">
      <c r="A33" s="366">
        <v>10</v>
      </c>
      <c r="B33" s="370">
        <v>0.78500000000000003</v>
      </c>
      <c r="C33" s="369">
        <f t="shared" si="1"/>
        <v>1.57</v>
      </c>
      <c r="D33" s="369">
        <f t="shared" si="1"/>
        <v>2.355</v>
      </c>
      <c r="E33" s="369">
        <f t="shared" si="1"/>
        <v>3.14</v>
      </c>
      <c r="F33" s="369">
        <f t="shared" si="1"/>
        <v>3.9250000000000003</v>
      </c>
      <c r="G33" s="369">
        <f t="shared" si="1"/>
        <v>4.71</v>
      </c>
      <c r="H33" s="369">
        <f t="shared" si="1"/>
        <v>5.4950000000000001</v>
      </c>
      <c r="I33" s="369">
        <f t="shared" si="1"/>
        <v>6.28</v>
      </c>
      <c r="J33" s="369">
        <f t="shared" si="1"/>
        <v>7.0650000000000004</v>
      </c>
      <c r="K33" s="369">
        <f t="shared" si="1"/>
        <v>7.8500000000000005</v>
      </c>
      <c r="L33" s="369">
        <f t="shared" si="1"/>
        <v>8.6349999999999998</v>
      </c>
      <c r="M33" s="369">
        <f t="shared" si="2"/>
        <v>9.42</v>
      </c>
      <c r="N33" s="369">
        <f t="shared" si="2"/>
        <v>10.205</v>
      </c>
      <c r="O33" s="369">
        <f t="shared" si="2"/>
        <v>10.99</v>
      </c>
      <c r="P33" s="369">
        <f t="shared" si="2"/>
        <v>11.775</v>
      </c>
      <c r="Q33" s="369">
        <f t="shared" si="2"/>
        <v>12.56</v>
      </c>
      <c r="R33" s="369">
        <f t="shared" si="2"/>
        <v>13.345000000000001</v>
      </c>
      <c r="S33" s="369">
        <f t="shared" si="2"/>
        <v>14.13</v>
      </c>
      <c r="T33" s="369">
        <f t="shared" si="2"/>
        <v>14.915000000000001</v>
      </c>
      <c r="U33" s="368">
        <f t="shared" si="2"/>
        <v>15.700000000000001</v>
      </c>
      <c r="V33" s="367">
        <f t="shared" si="3"/>
        <v>0.61653755826699685</v>
      </c>
      <c r="W33" s="366">
        <v>10</v>
      </c>
      <c r="X33" s="335"/>
      <c r="Y33" s="335"/>
      <c r="Z33" s="335"/>
      <c r="AA33" s="335"/>
      <c r="AB33" s="335"/>
      <c r="AC33" s="335"/>
      <c r="AD33" s="335"/>
      <c r="AE33" s="335"/>
    </row>
    <row r="34" spans="1:31" ht="15.75" customHeight="1" thickBot="1">
      <c r="A34" s="366">
        <v>12</v>
      </c>
      <c r="B34" s="370">
        <v>1.131</v>
      </c>
      <c r="C34" s="369">
        <f t="shared" si="1"/>
        <v>2.262</v>
      </c>
      <c r="D34" s="369">
        <f t="shared" si="1"/>
        <v>3.3929999999999998</v>
      </c>
      <c r="E34" s="369">
        <f t="shared" si="1"/>
        <v>4.524</v>
      </c>
      <c r="F34" s="369">
        <f t="shared" si="1"/>
        <v>5.6550000000000002</v>
      </c>
      <c r="G34" s="369">
        <f t="shared" si="1"/>
        <v>6.7859999999999996</v>
      </c>
      <c r="H34" s="369">
        <f t="shared" si="1"/>
        <v>7.9169999999999998</v>
      </c>
      <c r="I34" s="369">
        <f t="shared" si="1"/>
        <v>9.048</v>
      </c>
      <c r="J34" s="369">
        <f t="shared" si="1"/>
        <v>10.179</v>
      </c>
      <c r="K34" s="369">
        <f t="shared" si="1"/>
        <v>11.31</v>
      </c>
      <c r="L34" s="369">
        <f t="shared" si="1"/>
        <v>12.441000000000001</v>
      </c>
      <c r="M34" s="369">
        <f t="shared" si="2"/>
        <v>13.571999999999999</v>
      </c>
      <c r="N34" s="369">
        <f t="shared" si="2"/>
        <v>14.702999999999999</v>
      </c>
      <c r="O34" s="369">
        <f t="shared" si="2"/>
        <v>15.834</v>
      </c>
      <c r="P34" s="369">
        <f t="shared" si="2"/>
        <v>16.965</v>
      </c>
      <c r="Q34" s="369">
        <f t="shared" si="2"/>
        <v>18.096</v>
      </c>
      <c r="R34" s="369">
        <f t="shared" si="2"/>
        <v>19.227</v>
      </c>
      <c r="S34" s="369">
        <f t="shared" si="2"/>
        <v>20.358000000000001</v>
      </c>
      <c r="T34" s="369">
        <f t="shared" si="2"/>
        <v>21.489000000000001</v>
      </c>
      <c r="U34" s="368">
        <f t="shared" si="2"/>
        <v>22.62</v>
      </c>
      <c r="V34" s="367">
        <f t="shared" si="3"/>
        <v>0.88781408390447547</v>
      </c>
      <c r="W34" s="366">
        <v>12</v>
      </c>
      <c r="X34" s="335"/>
      <c r="Y34" s="335"/>
      <c r="Z34" s="335"/>
      <c r="AA34" s="335"/>
      <c r="AB34" s="335"/>
      <c r="AC34" s="335"/>
      <c r="AD34" s="335"/>
      <c r="AE34" s="335"/>
    </row>
    <row r="35" spans="1:31" ht="15.75" customHeight="1" thickBot="1">
      <c r="A35" s="366">
        <v>14</v>
      </c>
      <c r="B35" s="370">
        <v>1.5389999999999999</v>
      </c>
      <c r="C35" s="369">
        <f t="shared" si="1"/>
        <v>3.0779999999999998</v>
      </c>
      <c r="D35" s="369">
        <f t="shared" si="1"/>
        <v>4.617</v>
      </c>
      <c r="E35" s="369">
        <f t="shared" si="1"/>
        <v>6.1559999999999997</v>
      </c>
      <c r="F35" s="369">
        <f t="shared" si="1"/>
        <v>7.6949999999999994</v>
      </c>
      <c r="G35" s="369">
        <f t="shared" si="1"/>
        <v>9.234</v>
      </c>
      <c r="H35" s="369">
        <f t="shared" si="1"/>
        <v>10.773</v>
      </c>
      <c r="I35" s="369">
        <f t="shared" si="1"/>
        <v>12.311999999999999</v>
      </c>
      <c r="J35" s="369">
        <f t="shared" si="1"/>
        <v>13.850999999999999</v>
      </c>
      <c r="K35" s="369">
        <f t="shared" si="1"/>
        <v>15.389999999999999</v>
      </c>
      <c r="L35" s="369">
        <f t="shared" si="1"/>
        <v>16.928999999999998</v>
      </c>
      <c r="M35" s="369">
        <f t="shared" si="2"/>
        <v>18.468</v>
      </c>
      <c r="N35" s="369">
        <f t="shared" si="2"/>
        <v>20.006999999999998</v>
      </c>
      <c r="O35" s="369">
        <f t="shared" si="2"/>
        <v>21.545999999999999</v>
      </c>
      <c r="P35" s="369">
        <f t="shared" si="2"/>
        <v>23.084999999999997</v>
      </c>
      <c r="Q35" s="369">
        <f t="shared" si="2"/>
        <v>24.623999999999999</v>
      </c>
      <c r="R35" s="369">
        <f t="shared" si="2"/>
        <v>26.163</v>
      </c>
      <c r="S35" s="369">
        <f t="shared" si="2"/>
        <v>27.701999999999998</v>
      </c>
      <c r="T35" s="369">
        <f t="shared" si="2"/>
        <v>29.241</v>
      </c>
      <c r="U35" s="368">
        <f t="shared" si="2"/>
        <v>30.779999999999998</v>
      </c>
      <c r="V35" s="367">
        <f t="shared" si="3"/>
        <v>1.2084136142033142</v>
      </c>
      <c r="W35" s="366">
        <v>14</v>
      </c>
      <c r="X35" s="335"/>
      <c r="Y35" s="335"/>
      <c r="Z35" s="335"/>
      <c r="AA35" s="335"/>
      <c r="AB35" s="335"/>
      <c r="AC35" s="335"/>
      <c r="AD35" s="335"/>
      <c r="AE35" s="335"/>
    </row>
    <row r="36" spans="1:31" ht="15.75" customHeight="1" thickBot="1">
      <c r="A36" s="366">
        <v>16</v>
      </c>
      <c r="B36" s="370">
        <v>2.0110000000000001</v>
      </c>
      <c r="C36" s="369">
        <f t="shared" ref="C36:L50" si="4">$B36*C$25</f>
        <v>4.0220000000000002</v>
      </c>
      <c r="D36" s="369">
        <f t="shared" si="4"/>
        <v>6.0330000000000004</v>
      </c>
      <c r="E36" s="369">
        <f t="shared" si="4"/>
        <v>8.0440000000000005</v>
      </c>
      <c r="F36" s="369">
        <f t="shared" si="4"/>
        <v>10.055</v>
      </c>
      <c r="G36" s="369">
        <f t="shared" si="4"/>
        <v>12.066000000000001</v>
      </c>
      <c r="H36" s="369">
        <f t="shared" si="4"/>
        <v>14.077000000000002</v>
      </c>
      <c r="I36" s="369">
        <f t="shared" si="4"/>
        <v>16.088000000000001</v>
      </c>
      <c r="J36" s="369">
        <f t="shared" si="4"/>
        <v>18.099</v>
      </c>
      <c r="K36" s="369">
        <f t="shared" si="4"/>
        <v>20.11</v>
      </c>
      <c r="L36" s="369">
        <f t="shared" si="4"/>
        <v>22.121000000000002</v>
      </c>
      <c r="M36" s="369">
        <f t="shared" ref="M36:U50" si="5">$B36*M$25</f>
        <v>24.132000000000001</v>
      </c>
      <c r="N36" s="369">
        <f t="shared" si="5"/>
        <v>26.143000000000001</v>
      </c>
      <c r="O36" s="369">
        <f t="shared" si="5"/>
        <v>28.154000000000003</v>
      </c>
      <c r="P36" s="369">
        <f t="shared" si="5"/>
        <v>30.165000000000003</v>
      </c>
      <c r="Q36" s="369">
        <f t="shared" si="5"/>
        <v>32.176000000000002</v>
      </c>
      <c r="R36" s="369">
        <f t="shared" si="5"/>
        <v>34.187000000000005</v>
      </c>
      <c r="S36" s="369">
        <f t="shared" si="5"/>
        <v>36.198</v>
      </c>
      <c r="T36" s="369">
        <f t="shared" si="5"/>
        <v>38.209000000000003</v>
      </c>
      <c r="U36" s="368">
        <f t="shared" si="5"/>
        <v>40.22</v>
      </c>
      <c r="V36" s="367">
        <f t="shared" si="3"/>
        <v>1.5783361491635119</v>
      </c>
      <c r="W36" s="366">
        <v>16</v>
      </c>
      <c r="X36" s="335"/>
      <c r="Y36" s="335"/>
      <c r="Z36" s="335"/>
      <c r="AA36" s="335"/>
      <c r="AB36" s="335"/>
      <c r="AC36" s="335"/>
      <c r="AD36" s="335"/>
      <c r="AE36" s="335"/>
    </row>
    <row r="37" spans="1:31" ht="15" customHeight="1" thickBot="1">
      <c r="A37" s="366">
        <v>18</v>
      </c>
      <c r="B37" s="370">
        <v>2.5449999999999999</v>
      </c>
      <c r="C37" s="369">
        <f t="shared" si="4"/>
        <v>5.09</v>
      </c>
      <c r="D37" s="369">
        <f t="shared" si="4"/>
        <v>7.6349999999999998</v>
      </c>
      <c r="E37" s="369">
        <f t="shared" si="4"/>
        <v>10.18</v>
      </c>
      <c r="F37" s="369">
        <f t="shared" si="4"/>
        <v>12.725</v>
      </c>
      <c r="G37" s="369">
        <f t="shared" si="4"/>
        <v>15.27</v>
      </c>
      <c r="H37" s="369">
        <f t="shared" si="4"/>
        <v>17.814999999999998</v>
      </c>
      <c r="I37" s="369">
        <f t="shared" si="4"/>
        <v>20.36</v>
      </c>
      <c r="J37" s="369">
        <f t="shared" si="4"/>
        <v>22.905000000000001</v>
      </c>
      <c r="K37" s="369">
        <f t="shared" si="4"/>
        <v>25.45</v>
      </c>
      <c r="L37" s="369">
        <f t="shared" si="4"/>
        <v>27.994999999999997</v>
      </c>
      <c r="M37" s="369">
        <f t="shared" si="5"/>
        <v>30.54</v>
      </c>
      <c r="N37" s="369">
        <f t="shared" si="5"/>
        <v>33.085000000000001</v>
      </c>
      <c r="O37" s="369">
        <f t="shared" si="5"/>
        <v>35.629999999999995</v>
      </c>
      <c r="P37" s="369">
        <f t="shared" si="5"/>
        <v>38.174999999999997</v>
      </c>
      <c r="Q37" s="369">
        <f t="shared" si="5"/>
        <v>40.72</v>
      </c>
      <c r="R37" s="369">
        <f t="shared" si="5"/>
        <v>43.265000000000001</v>
      </c>
      <c r="S37" s="369">
        <f t="shared" si="5"/>
        <v>45.81</v>
      </c>
      <c r="T37" s="369">
        <f t="shared" si="5"/>
        <v>48.354999999999997</v>
      </c>
      <c r="U37" s="368">
        <f t="shared" si="5"/>
        <v>50.9</v>
      </c>
      <c r="V37" s="367">
        <f t="shared" si="3"/>
        <v>1.9975816887850697</v>
      </c>
      <c r="W37" s="366">
        <v>18</v>
      </c>
      <c r="X37" s="335"/>
      <c r="Y37" s="335"/>
      <c r="Z37" s="335"/>
      <c r="AA37" s="335"/>
      <c r="AB37" s="335"/>
      <c r="AC37" s="335"/>
      <c r="AD37" s="335"/>
      <c r="AE37" s="335"/>
    </row>
    <row r="38" spans="1:31" ht="15.75" customHeight="1" thickBot="1">
      <c r="A38" s="366">
        <v>20</v>
      </c>
      <c r="B38" s="370">
        <v>3.1419999999999999</v>
      </c>
      <c r="C38" s="369">
        <f t="shared" si="4"/>
        <v>6.2839999999999998</v>
      </c>
      <c r="D38" s="369">
        <f t="shared" si="4"/>
        <v>9.4260000000000002</v>
      </c>
      <c r="E38" s="369">
        <f t="shared" si="4"/>
        <v>12.568</v>
      </c>
      <c r="F38" s="369">
        <f t="shared" si="4"/>
        <v>15.709999999999999</v>
      </c>
      <c r="G38" s="369">
        <f t="shared" si="4"/>
        <v>18.852</v>
      </c>
      <c r="H38" s="369">
        <f t="shared" si="4"/>
        <v>21.994</v>
      </c>
      <c r="I38" s="369">
        <f t="shared" si="4"/>
        <v>25.135999999999999</v>
      </c>
      <c r="J38" s="369">
        <f t="shared" si="4"/>
        <v>28.277999999999999</v>
      </c>
      <c r="K38" s="369">
        <f t="shared" si="4"/>
        <v>31.419999999999998</v>
      </c>
      <c r="L38" s="369">
        <f t="shared" si="4"/>
        <v>34.561999999999998</v>
      </c>
      <c r="M38" s="369">
        <f t="shared" si="5"/>
        <v>37.704000000000001</v>
      </c>
      <c r="N38" s="369">
        <f t="shared" si="5"/>
        <v>40.845999999999997</v>
      </c>
      <c r="O38" s="369">
        <f t="shared" si="5"/>
        <v>43.988</v>
      </c>
      <c r="P38" s="369">
        <f t="shared" si="5"/>
        <v>47.129999999999995</v>
      </c>
      <c r="Q38" s="369">
        <f t="shared" si="5"/>
        <v>50.271999999999998</v>
      </c>
      <c r="R38" s="369">
        <f t="shared" si="5"/>
        <v>53.414000000000001</v>
      </c>
      <c r="S38" s="369">
        <f t="shared" si="5"/>
        <v>56.555999999999997</v>
      </c>
      <c r="T38" s="369">
        <f t="shared" si="5"/>
        <v>59.698</v>
      </c>
      <c r="U38" s="368">
        <f t="shared" si="5"/>
        <v>62.839999999999996</v>
      </c>
      <c r="V38" s="367">
        <f t="shared" si="3"/>
        <v>2.4661502330679874</v>
      </c>
      <c r="W38" s="366">
        <v>20</v>
      </c>
      <c r="X38" s="335"/>
      <c r="Y38" s="335"/>
      <c r="Z38" s="335"/>
      <c r="AA38" s="335"/>
      <c r="AB38" s="335"/>
      <c r="AC38" s="335"/>
      <c r="AD38" s="335"/>
      <c r="AE38" s="335"/>
    </row>
    <row r="39" spans="1:31" ht="15.75" customHeight="1" thickBot="1">
      <c r="A39" s="366">
        <v>22</v>
      </c>
      <c r="B39" s="370">
        <v>3.8010000000000002</v>
      </c>
      <c r="C39" s="369">
        <f t="shared" si="4"/>
        <v>7.6020000000000003</v>
      </c>
      <c r="D39" s="369">
        <f t="shared" si="4"/>
        <v>11.403</v>
      </c>
      <c r="E39" s="369">
        <f t="shared" si="4"/>
        <v>15.204000000000001</v>
      </c>
      <c r="F39" s="369">
        <f t="shared" si="4"/>
        <v>19.005000000000003</v>
      </c>
      <c r="G39" s="369">
        <f t="shared" si="4"/>
        <v>22.806000000000001</v>
      </c>
      <c r="H39" s="369">
        <f t="shared" si="4"/>
        <v>26.606999999999999</v>
      </c>
      <c r="I39" s="369">
        <f t="shared" si="4"/>
        <v>30.408000000000001</v>
      </c>
      <c r="J39" s="369">
        <f t="shared" si="4"/>
        <v>34.209000000000003</v>
      </c>
      <c r="K39" s="369">
        <f t="shared" si="4"/>
        <v>38.010000000000005</v>
      </c>
      <c r="L39" s="369">
        <f t="shared" si="4"/>
        <v>41.811</v>
      </c>
      <c r="M39" s="369">
        <f t="shared" si="5"/>
        <v>45.612000000000002</v>
      </c>
      <c r="N39" s="369">
        <f t="shared" si="5"/>
        <v>49.413000000000004</v>
      </c>
      <c r="O39" s="369">
        <f t="shared" si="5"/>
        <v>53.213999999999999</v>
      </c>
      <c r="P39" s="369">
        <f t="shared" si="5"/>
        <v>57.015000000000001</v>
      </c>
      <c r="Q39" s="369">
        <f t="shared" si="5"/>
        <v>60.816000000000003</v>
      </c>
      <c r="R39" s="369">
        <f t="shared" si="5"/>
        <v>64.617000000000004</v>
      </c>
      <c r="S39" s="369">
        <f t="shared" si="5"/>
        <v>68.418000000000006</v>
      </c>
      <c r="T39" s="369">
        <f t="shared" si="5"/>
        <v>72.219000000000008</v>
      </c>
      <c r="U39" s="368">
        <f t="shared" si="5"/>
        <v>76.02000000000001</v>
      </c>
      <c r="V39" s="367">
        <f t="shared" si="3"/>
        <v>2.9840417820122647</v>
      </c>
      <c r="W39" s="366">
        <v>22</v>
      </c>
      <c r="X39" s="335"/>
      <c r="Y39" s="335"/>
      <c r="Z39" s="335"/>
      <c r="AA39" s="335"/>
      <c r="AB39" s="335"/>
      <c r="AC39" s="335"/>
      <c r="AD39" s="335"/>
      <c r="AE39" s="335"/>
    </row>
    <row r="40" spans="1:31" ht="15.75" customHeight="1" thickBot="1">
      <c r="A40" s="366">
        <v>25</v>
      </c>
      <c r="B40" s="370">
        <v>4.9089999999999998</v>
      </c>
      <c r="C40" s="369">
        <f t="shared" si="4"/>
        <v>9.8179999999999996</v>
      </c>
      <c r="D40" s="369">
        <f t="shared" si="4"/>
        <v>14.727</v>
      </c>
      <c r="E40" s="369">
        <f t="shared" si="4"/>
        <v>19.635999999999999</v>
      </c>
      <c r="F40" s="369">
        <f t="shared" si="4"/>
        <v>24.544999999999998</v>
      </c>
      <c r="G40" s="369">
        <f t="shared" si="4"/>
        <v>29.454000000000001</v>
      </c>
      <c r="H40" s="369">
        <f t="shared" si="4"/>
        <v>34.363</v>
      </c>
      <c r="I40" s="369">
        <f t="shared" si="4"/>
        <v>39.271999999999998</v>
      </c>
      <c r="J40" s="369">
        <f t="shared" si="4"/>
        <v>44.180999999999997</v>
      </c>
      <c r="K40" s="369">
        <f t="shared" si="4"/>
        <v>49.089999999999996</v>
      </c>
      <c r="L40" s="369">
        <f t="shared" si="4"/>
        <v>53.998999999999995</v>
      </c>
      <c r="M40" s="369">
        <f t="shared" si="5"/>
        <v>58.908000000000001</v>
      </c>
      <c r="N40" s="369">
        <f t="shared" si="5"/>
        <v>63.817</v>
      </c>
      <c r="O40" s="369">
        <f t="shared" si="5"/>
        <v>68.725999999999999</v>
      </c>
      <c r="P40" s="369">
        <f t="shared" si="5"/>
        <v>73.634999999999991</v>
      </c>
      <c r="Q40" s="369">
        <f t="shared" si="5"/>
        <v>78.543999999999997</v>
      </c>
      <c r="R40" s="369">
        <f t="shared" si="5"/>
        <v>83.453000000000003</v>
      </c>
      <c r="S40" s="369">
        <f t="shared" si="5"/>
        <v>88.361999999999995</v>
      </c>
      <c r="T40" s="369">
        <f t="shared" si="5"/>
        <v>93.271000000000001</v>
      </c>
      <c r="U40" s="368">
        <f t="shared" si="5"/>
        <v>98.179999999999993</v>
      </c>
      <c r="V40" s="367">
        <f t="shared" si="3"/>
        <v>3.8533597391687309</v>
      </c>
      <c r="W40" s="366">
        <v>25</v>
      </c>
      <c r="X40" s="335"/>
      <c r="Y40" s="335"/>
      <c r="Z40" s="335"/>
      <c r="AA40" s="335"/>
      <c r="AB40" s="335"/>
      <c r="AC40" s="335"/>
      <c r="AD40" s="335"/>
      <c r="AE40" s="335"/>
    </row>
    <row r="41" spans="1:31" ht="15.75" customHeight="1" thickBot="1">
      <c r="A41" s="366">
        <v>28</v>
      </c>
      <c r="B41" s="370">
        <v>6.1529999999999996</v>
      </c>
      <c r="C41" s="369">
        <f t="shared" si="4"/>
        <v>12.305999999999999</v>
      </c>
      <c r="D41" s="369">
        <f t="shared" si="4"/>
        <v>18.459</v>
      </c>
      <c r="E41" s="369">
        <f t="shared" si="4"/>
        <v>24.611999999999998</v>
      </c>
      <c r="F41" s="369">
        <f t="shared" si="4"/>
        <v>30.764999999999997</v>
      </c>
      <c r="G41" s="369">
        <f t="shared" si="4"/>
        <v>36.917999999999999</v>
      </c>
      <c r="H41" s="369">
        <f t="shared" si="4"/>
        <v>43.070999999999998</v>
      </c>
      <c r="I41" s="369">
        <f t="shared" si="4"/>
        <v>49.223999999999997</v>
      </c>
      <c r="J41" s="369">
        <f t="shared" si="4"/>
        <v>55.376999999999995</v>
      </c>
      <c r="K41" s="369">
        <f t="shared" si="4"/>
        <v>61.529999999999994</v>
      </c>
      <c r="L41" s="369">
        <f t="shared" si="4"/>
        <v>67.682999999999993</v>
      </c>
      <c r="M41" s="369">
        <f t="shared" si="5"/>
        <v>73.835999999999999</v>
      </c>
      <c r="N41" s="369">
        <f t="shared" si="5"/>
        <v>79.98899999999999</v>
      </c>
      <c r="O41" s="369">
        <f t="shared" si="5"/>
        <v>86.141999999999996</v>
      </c>
      <c r="P41" s="369">
        <f t="shared" si="5"/>
        <v>92.294999999999987</v>
      </c>
      <c r="Q41" s="369">
        <f t="shared" si="5"/>
        <v>98.447999999999993</v>
      </c>
      <c r="R41" s="369">
        <f t="shared" si="5"/>
        <v>104.601</v>
      </c>
      <c r="S41" s="369">
        <f t="shared" si="5"/>
        <v>110.75399999999999</v>
      </c>
      <c r="T41" s="369">
        <f t="shared" si="5"/>
        <v>116.907</v>
      </c>
      <c r="U41" s="368">
        <f t="shared" si="5"/>
        <v>123.05999999999999</v>
      </c>
      <c r="V41" s="367">
        <f t="shared" si="3"/>
        <v>4.8336544568132567</v>
      </c>
      <c r="W41" s="366">
        <v>28</v>
      </c>
      <c r="X41" s="335"/>
      <c r="Y41" s="335"/>
      <c r="Z41" s="335"/>
      <c r="AA41" s="335"/>
      <c r="AB41" s="335"/>
      <c r="AC41" s="335"/>
      <c r="AD41" s="335"/>
      <c r="AE41" s="335"/>
    </row>
    <row r="42" spans="1:31" ht="15.75" customHeight="1" thickBot="1">
      <c r="A42" s="366">
        <v>32</v>
      </c>
      <c r="B42" s="370">
        <v>8.0429999999999993</v>
      </c>
      <c r="C42" s="369">
        <f t="shared" si="4"/>
        <v>16.085999999999999</v>
      </c>
      <c r="D42" s="369">
        <f t="shared" si="4"/>
        <v>24.128999999999998</v>
      </c>
      <c r="E42" s="369">
        <f t="shared" si="4"/>
        <v>32.171999999999997</v>
      </c>
      <c r="F42" s="369">
        <f t="shared" si="4"/>
        <v>40.214999999999996</v>
      </c>
      <c r="G42" s="369">
        <f t="shared" si="4"/>
        <v>48.257999999999996</v>
      </c>
      <c r="H42" s="369">
        <f t="shared" si="4"/>
        <v>56.300999999999995</v>
      </c>
      <c r="I42" s="369">
        <f t="shared" si="4"/>
        <v>64.343999999999994</v>
      </c>
      <c r="J42" s="369">
        <f t="shared" si="4"/>
        <v>72.387</v>
      </c>
      <c r="K42" s="369">
        <f t="shared" si="4"/>
        <v>80.429999999999993</v>
      </c>
      <c r="L42" s="369">
        <f t="shared" si="4"/>
        <v>88.472999999999985</v>
      </c>
      <c r="M42" s="369">
        <f t="shared" si="5"/>
        <v>96.515999999999991</v>
      </c>
      <c r="N42" s="369">
        <f t="shared" si="5"/>
        <v>104.559</v>
      </c>
      <c r="O42" s="369">
        <f t="shared" si="5"/>
        <v>112.60199999999999</v>
      </c>
      <c r="P42" s="369">
        <f t="shared" si="5"/>
        <v>120.64499999999998</v>
      </c>
      <c r="Q42" s="369">
        <f t="shared" si="5"/>
        <v>128.68799999999999</v>
      </c>
      <c r="R42" s="369">
        <f t="shared" si="5"/>
        <v>136.73099999999999</v>
      </c>
      <c r="S42" s="369">
        <f t="shared" si="5"/>
        <v>144.774</v>
      </c>
      <c r="T42" s="369">
        <f t="shared" si="5"/>
        <v>152.81699999999998</v>
      </c>
      <c r="U42" s="368">
        <f t="shared" si="5"/>
        <v>160.85999999999999</v>
      </c>
      <c r="V42" s="367">
        <f t="shared" si="3"/>
        <v>6.3133445966540478</v>
      </c>
      <c r="W42" s="366">
        <v>32</v>
      </c>
      <c r="X42" s="335"/>
      <c r="Y42" s="335"/>
      <c r="Z42" s="335"/>
      <c r="AA42" s="335"/>
      <c r="AB42" s="335"/>
      <c r="AC42" s="335"/>
      <c r="AD42" s="335"/>
      <c r="AE42" s="335"/>
    </row>
    <row r="43" spans="1:31" ht="15.75" customHeight="1" thickBot="1">
      <c r="A43" s="366">
        <v>36</v>
      </c>
      <c r="B43" s="370">
        <v>10.179</v>
      </c>
      <c r="C43" s="369">
        <f t="shared" si="4"/>
        <v>20.358000000000001</v>
      </c>
      <c r="D43" s="369">
        <f t="shared" si="4"/>
        <v>30.536999999999999</v>
      </c>
      <c r="E43" s="369">
        <f t="shared" si="4"/>
        <v>40.716000000000001</v>
      </c>
      <c r="F43" s="369">
        <f t="shared" si="4"/>
        <v>50.895000000000003</v>
      </c>
      <c r="G43" s="369">
        <f t="shared" si="4"/>
        <v>61.073999999999998</v>
      </c>
      <c r="H43" s="369">
        <f t="shared" si="4"/>
        <v>71.253</v>
      </c>
      <c r="I43" s="369">
        <f t="shared" si="4"/>
        <v>81.432000000000002</v>
      </c>
      <c r="J43" s="369">
        <f t="shared" si="4"/>
        <v>91.611000000000004</v>
      </c>
      <c r="K43" s="369">
        <f t="shared" si="4"/>
        <v>101.79</v>
      </c>
      <c r="L43" s="369">
        <f t="shared" si="4"/>
        <v>111.96900000000001</v>
      </c>
      <c r="M43" s="369">
        <f t="shared" si="5"/>
        <v>122.148</v>
      </c>
      <c r="N43" s="369">
        <f t="shared" si="5"/>
        <v>132.327</v>
      </c>
      <c r="O43" s="369">
        <f t="shared" si="5"/>
        <v>142.506</v>
      </c>
      <c r="P43" s="369">
        <f t="shared" si="5"/>
        <v>152.685</v>
      </c>
      <c r="Q43" s="369">
        <f t="shared" si="5"/>
        <v>162.864</v>
      </c>
      <c r="R43" s="369">
        <f t="shared" si="5"/>
        <v>173.04300000000001</v>
      </c>
      <c r="S43" s="369">
        <f t="shared" si="5"/>
        <v>183.22200000000001</v>
      </c>
      <c r="T43" s="369">
        <f t="shared" si="5"/>
        <v>193.40100000000001</v>
      </c>
      <c r="U43" s="368">
        <f t="shared" si="5"/>
        <v>203.58</v>
      </c>
      <c r="V43" s="367">
        <f t="shared" si="3"/>
        <v>7.9903267551402788</v>
      </c>
      <c r="W43" s="366">
        <v>36</v>
      </c>
      <c r="X43" s="335"/>
      <c r="Y43" s="335"/>
      <c r="Z43" s="335"/>
      <c r="AA43" s="335"/>
      <c r="AB43" s="335"/>
      <c r="AC43" s="335"/>
      <c r="AD43" s="335"/>
      <c r="AE43" s="335"/>
    </row>
    <row r="44" spans="1:31" ht="15.75" customHeight="1" thickBot="1">
      <c r="A44" s="366">
        <v>40</v>
      </c>
      <c r="B44" s="370">
        <v>12.561</v>
      </c>
      <c r="C44" s="369">
        <f t="shared" si="4"/>
        <v>25.122</v>
      </c>
      <c r="D44" s="369">
        <f t="shared" si="4"/>
        <v>37.683</v>
      </c>
      <c r="E44" s="369">
        <f t="shared" si="4"/>
        <v>50.244</v>
      </c>
      <c r="F44" s="369">
        <f t="shared" si="4"/>
        <v>62.805</v>
      </c>
      <c r="G44" s="369">
        <f t="shared" si="4"/>
        <v>75.366</v>
      </c>
      <c r="H44" s="369">
        <f t="shared" si="4"/>
        <v>87.926999999999992</v>
      </c>
      <c r="I44" s="369">
        <f t="shared" si="4"/>
        <v>100.488</v>
      </c>
      <c r="J44" s="369">
        <f t="shared" si="4"/>
        <v>113.04900000000001</v>
      </c>
      <c r="K44" s="369">
        <f t="shared" si="4"/>
        <v>125.61</v>
      </c>
      <c r="L44" s="369">
        <f t="shared" si="4"/>
        <v>138.17099999999999</v>
      </c>
      <c r="M44" s="369">
        <f t="shared" si="5"/>
        <v>150.732</v>
      </c>
      <c r="N44" s="369">
        <f t="shared" si="5"/>
        <v>163.29300000000001</v>
      </c>
      <c r="O44" s="369">
        <f t="shared" si="5"/>
        <v>175.85399999999998</v>
      </c>
      <c r="P44" s="369">
        <f t="shared" si="5"/>
        <v>188.41499999999999</v>
      </c>
      <c r="Q44" s="369">
        <f t="shared" si="5"/>
        <v>200.976</v>
      </c>
      <c r="R44" s="369">
        <f t="shared" si="5"/>
        <v>213.53700000000001</v>
      </c>
      <c r="S44" s="369">
        <f t="shared" si="5"/>
        <v>226.09800000000001</v>
      </c>
      <c r="T44" s="369">
        <f t="shared" si="5"/>
        <v>238.65899999999999</v>
      </c>
      <c r="U44" s="368">
        <f t="shared" si="5"/>
        <v>251.22</v>
      </c>
      <c r="V44" s="367">
        <f t="shared" si="3"/>
        <v>9.8646009322719497</v>
      </c>
      <c r="W44" s="366">
        <v>40</v>
      </c>
      <c r="X44" s="335"/>
      <c r="Y44" s="335"/>
      <c r="Z44" s="335"/>
      <c r="AA44" s="335"/>
      <c r="AB44" s="335"/>
      <c r="AC44" s="335"/>
      <c r="AD44" s="335"/>
      <c r="AE44" s="335"/>
    </row>
    <row r="45" spans="1:31" ht="15.75" customHeight="1" thickBot="1">
      <c r="A45" s="366">
        <v>45</v>
      </c>
      <c r="B45" s="370">
        <v>15.904</v>
      </c>
      <c r="C45" s="369">
        <f t="shared" si="4"/>
        <v>31.808</v>
      </c>
      <c r="D45" s="369">
        <f t="shared" si="4"/>
        <v>47.712000000000003</v>
      </c>
      <c r="E45" s="369">
        <f t="shared" si="4"/>
        <v>63.616</v>
      </c>
      <c r="F45" s="369">
        <f t="shared" si="4"/>
        <v>79.52</v>
      </c>
      <c r="G45" s="369">
        <f t="shared" si="4"/>
        <v>95.424000000000007</v>
      </c>
      <c r="H45" s="369">
        <f t="shared" si="4"/>
        <v>111.328</v>
      </c>
      <c r="I45" s="369">
        <f t="shared" si="4"/>
        <v>127.232</v>
      </c>
      <c r="J45" s="369">
        <f t="shared" si="4"/>
        <v>143.136</v>
      </c>
      <c r="K45" s="369">
        <f t="shared" si="4"/>
        <v>159.04</v>
      </c>
      <c r="L45" s="369">
        <f t="shared" si="4"/>
        <v>174.94399999999999</v>
      </c>
      <c r="M45" s="369">
        <f t="shared" si="5"/>
        <v>190.84800000000001</v>
      </c>
      <c r="N45" s="369">
        <f t="shared" si="5"/>
        <v>206.75200000000001</v>
      </c>
      <c r="O45" s="369">
        <f t="shared" si="5"/>
        <v>222.65600000000001</v>
      </c>
      <c r="P45" s="369">
        <f t="shared" si="5"/>
        <v>238.56</v>
      </c>
      <c r="Q45" s="369">
        <f t="shared" si="5"/>
        <v>254.464</v>
      </c>
      <c r="R45" s="369">
        <f t="shared" si="5"/>
        <v>270.36799999999999</v>
      </c>
      <c r="S45" s="369">
        <f t="shared" si="5"/>
        <v>286.27199999999999</v>
      </c>
      <c r="T45" s="369">
        <f t="shared" si="5"/>
        <v>302.17599999999999</v>
      </c>
      <c r="U45" s="368">
        <f t="shared" si="5"/>
        <v>318.08</v>
      </c>
      <c r="V45" s="367">
        <f t="shared" si="3"/>
        <v>12.484885554906686</v>
      </c>
      <c r="W45" s="366">
        <v>45</v>
      </c>
      <c r="X45" s="335"/>
      <c r="Y45" s="335"/>
      <c r="Z45" s="335"/>
      <c r="AA45" s="335"/>
      <c r="AB45" s="335"/>
      <c r="AC45" s="335"/>
      <c r="AD45" s="335"/>
      <c r="AE45" s="335"/>
    </row>
    <row r="46" spans="1:31" ht="15.75" customHeight="1" thickBot="1">
      <c r="A46" s="366">
        <v>50</v>
      </c>
      <c r="B46" s="370">
        <v>19.635000000000002</v>
      </c>
      <c r="C46" s="369">
        <f t="shared" si="4"/>
        <v>39.270000000000003</v>
      </c>
      <c r="D46" s="369">
        <f t="shared" si="4"/>
        <v>58.905000000000001</v>
      </c>
      <c r="E46" s="369">
        <f t="shared" si="4"/>
        <v>78.540000000000006</v>
      </c>
      <c r="F46" s="369">
        <f t="shared" si="4"/>
        <v>98.175000000000011</v>
      </c>
      <c r="G46" s="369">
        <f t="shared" si="4"/>
        <v>117.81</v>
      </c>
      <c r="H46" s="369">
        <f t="shared" si="4"/>
        <v>137.44500000000002</v>
      </c>
      <c r="I46" s="369">
        <f t="shared" si="4"/>
        <v>157.08000000000001</v>
      </c>
      <c r="J46" s="369">
        <f t="shared" si="4"/>
        <v>176.715</v>
      </c>
      <c r="K46" s="369">
        <f t="shared" si="4"/>
        <v>196.35000000000002</v>
      </c>
      <c r="L46" s="369">
        <f t="shared" si="4"/>
        <v>215.98500000000001</v>
      </c>
      <c r="M46" s="369">
        <f t="shared" si="5"/>
        <v>235.62</v>
      </c>
      <c r="N46" s="369">
        <f t="shared" si="5"/>
        <v>255.25500000000002</v>
      </c>
      <c r="O46" s="369">
        <f t="shared" si="5"/>
        <v>274.89000000000004</v>
      </c>
      <c r="P46" s="369">
        <f t="shared" si="5"/>
        <v>294.52500000000003</v>
      </c>
      <c r="Q46" s="369">
        <f t="shared" si="5"/>
        <v>314.16000000000003</v>
      </c>
      <c r="R46" s="369">
        <f t="shared" si="5"/>
        <v>333.79500000000002</v>
      </c>
      <c r="S46" s="369">
        <f t="shared" si="5"/>
        <v>353.43</v>
      </c>
      <c r="T46" s="369">
        <f t="shared" si="5"/>
        <v>373.06500000000005</v>
      </c>
      <c r="U46" s="368">
        <f t="shared" si="5"/>
        <v>392.70000000000005</v>
      </c>
      <c r="V46" s="367">
        <f t="shared" si="3"/>
        <v>15.413438956674923</v>
      </c>
      <c r="W46" s="366">
        <v>50</v>
      </c>
      <c r="X46" s="335"/>
      <c r="Y46" s="335"/>
      <c r="Z46" s="335"/>
      <c r="AA46" s="335"/>
      <c r="AB46" s="335"/>
      <c r="AC46" s="335"/>
      <c r="AD46" s="335"/>
      <c r="AE46" s="335"/>
    </row>
    <row r="47" spans="1:31" ht="15.75" customHeight="1" thickBot="1">
      <c r="A47" s="366">
        <v>55</v>
      </c>
      <c r="B47" s="370">
        <v>23.76</v>
      </c>
      <c r="C47" s="369">
        <f t="shared" si="4"/>
        <v>47.52</v>
      </c>
      <c r="D47" s="369">
        <f t="shared" si="4"/>
        <v>71.28</v>
      </c>
      <c r="E47" s="369">
        <f t="shared" si="4"/>
        <v>95.04</v>
      </c>
      <c r="F47" s="369">
        <f t="shared" si="4"/>
        <v>118.80000000000001</v>
      </c>
      <c r="G47" s="369">
        <f t="shared" si="4"/>
        <v>142.56</v>
      </c>
      <c r="H47" s="369">
        <f t="shared" si="4"/>
        <v>166.32000000000002</v>
      </c>
      <c r="I47" s="369">
        <f t="shared" si="4"/>
        <v>190.08</v>
      </c>
      <c r="J47" s="369">
        <f t="shared" si="4"/>
        <v>213.84</v>
      </c>
      <c r="K47" s="369">
        <f t="shared" si="4"/>
        <v>237.60000000000002</v>
      </c>
      <c r="L47" s="369">
        <f t="shared" si="4"/>
        <v>261.36</v>
      </c>
      <c r="M47" s="369">
        <f t="shared" si="5"/>
        <v>285.12</v>
      </c>
      <c r="N47" s="369">
        <f t="shared" si="5"/>
        <v>308.88</v>
      </c>
      <c r="O47" s="369">
        <f t="shared" si="5"/>
        <v>332.64000000000004</v>
      </c>
      <c r="P47" s="369">
        <f t="shared" si="5"/>
        <v>356.40000000000003</v>
      </c>
      <c r="Q47" s="369">
        <f t="shared" si="5"/>
        <v>380.16</v>
      </c>
      <c r="R47" s="369">
        <f t="shared" si="5"/>
        <v>403.92</v>
      </c>
      <c r="S47" s="369">
        <f t="shared" si="5"/>
        <v>427.68</v>
      </c>
      <c r="T47" s="369">
        <f t="shared" si="5"/>
        <v>451.44000000000005</v>
      </c>
      <c r="U47" s="368">
        <f t="shared" si="5"/>
        <v>475.20000000000005</v>
      </c>
      <c r="V47" s="367">
        <f t="shared" si="3"/>
        <v>18.650261137576656</v>
      </c>
      <c r="W47" s="366">
        <v>55</v>
      </c>
      <c r="X47" s="335"/>
      <c r="Y47" s="335"/>
      <c r="Z47" s="335"/>
      <c r="AA47" s="335"/>
      <c r="AB47" s="335"/>
      <c r="AC47" s="335"/>
      <c r="AD47" s="335"/>
      <c r="AE47" s="335"/>
    </row>
    <row r="48" spans="1:31" ht="15.75" customHeight="1" thickBot="1">
      <c r="A48" s="366">
        <v>60</v>
      </c>
      <c r="B48" s="370">
        <v>28.27</v>
      </c>
      <c r="C48" s="369">
        <f t="shared" si="4"/>
        <v>56.54</v>
      </c>
      <c r="D48" s="369">
        <f t="shared" si="4"/>
        <v>84.81</v>
      </c>
      <c r="E48" s="369">
        <f t="shared" si="4"/>
        <v>113.08</v>
      </c>
      <c r="F48" s="369">
        <f t="shared" si="4"/>
        <v>141.35</v>
      </c>
      <c r="G48" s="369">
        <f t="shared" si="4"/>
        <v>169.62</v>
      </c>
      <c r="H48" s="369">
        <f t="shared" si="4"/>
        <v>197.89</v>
      </c>
      <c r="I48" s="369">
        <f t="shared" si="4"/>
        <v>226.16</v>
      </c>
      <c r="J48" s="369">
        <f t="shared" si="4"/>
        <v>254.43</v>
      </c>
      <c r="K48" s="369">
        <f t="shared" si="4"/>
        <v>282.7</v>
      </c>
      <c r="L48" s="369">
        <f t="shared" si="4"/>
        <v>310.96999999999997</v>
      </c>
      <c r="M48" s="369">
        <f t="shared" si="5"/>
        <v>339.24</v>
      </c>
      <c r="N48" s="369">
        <f t="shared" si="5"/>
        <v>367.51</v>
      </c>
      <c r="O48" s="369">
        <f t="shared" si="5"/>
        <v>395.78</v>
      </c>
      <c r="P48" s="369">
        <f t="shared" si="5"/>
        <v>424.05</v>
      </c>
      <c r="Q48" s="369">
        <f t="shared" si="5"/>
        <v>452.32</v>
      </c>
      <c r="R48" s="369">
        <f t="shared" si="5"/>
        <v>480.59</v>
      </c>
      <c r="S48" s="369">
        <f t="shared" si="5"/>
        <v>508.86</v>
      </c>
      <c r="T48" s="369">
        <f t="shared" si="5"/>
        <v>537.13</v>
      </c>
      <c r="U48" s="368">
        <f t="shared" si="5"/>
        <v>565.4</v>
      </c>
      <c r="V48" s="367">
        <f t="shared" si="3"/>
        <v>22.195352097611888</v>
      </c>
      <c r="W48" s="366">
        <v>60</v>
      </c>
      <c r="X48" s="335"/>
      <c r="Y48" s="335"/>
      <c r="Z48" s="335"/>
      <c r="AA48" s="335"/>
      <c r="AB48" s="335"/>
      <c r="AC48" s="335"/>
      <c r="AD48" s="335"/>
      <c r="AE48" s="335"/>
    </row>
    <row r="49" spans="1:31" ht="15.75" customHeight="1" thickBot="1">
      <c r="A49" s="366">
        <v>70</v>
      </c>
      <c r="B49" s="370">
        <v>38.479999999999997</v>
      </c>
      <c r="C49" s="369">
        <f t="shared" si="4"/>
        <v>76.959999999999994</v>
      </c>
      <c r="D49" s="369">
        <f t="shared" si="4"/>
        <v>115.44</v>
      </c>
      <c r="E49" s="369">
        <f t="shared" si="4"/>
        <v>153.91999999999999</v>
      </c>
      <c r="F49" s="369">
        <f t="shared" si="4"/>
        <v>192.39999999999998</v>
      </c>
      <c r="G49" s="369">
        <f t="shared" si="4"/>
        <v>230.88</v>
      </c>
      <c r="H49" s="369">
        <f t="shared" si="4"/>
        <v>269.35999999999996</v>
      </c>
      <c r="I49" s="369">
        <f t="shared" si="4"/>
        <v>307.83999999999997</v>
      </c>
      <c r="J49" s="369">
        <f t="shared" si="4"/>
        <v>346.32</v>
      </c>
      <c r="K49" s="369">
        <f t="shared" si="4"/>
        <v>384.79999999999995</v>
      </c>
      <c r="L49" s="369">
        <f t="shared" si="4"/>
        <v>423.28</v>
      </c>
      <c r="M49" s="369">
        <f t="shared" si="5"/>
        <v>461.76</v>
      </c>
      <c r="N49" s="369">
        <f t="shared" si="5"/>
        <v>500.23999999999995</v>
      </c>
      <c r="O49" s="369">
        <f t="shared" si="5"/>
        <v>538.71999999999991</v>
      </c>
      <c r="P49" s="369">
        <f t="shared" si="5"/>
        <v>577.19999999999993</v>
      </c>
      <c r="Q49" s="369">
        <f t="shared" si="5"/>
        <v>615.67999999999995</v>
      </c>
      <c r="R49" s="369">
        <f t="shared" si="5"/>
        <v>654.16</v>
      </c>
      <c r="S49" s="369">
        <f t="shared" si="5"/>
        <v>692.64</v>
      </c>
      <c r="T49" s="369">
        <f t="shared" si="5"/>
        <v>731.11999999999989</v>
      </c>
      <c r="U49" s="368">
        <f t="shared" si="5"/>
        <v>769.59999999999991</v>
      </c>
      <c r="V49" s="367">
        <f t="shared" si="3"/>
        <v>30.210340355082852</v>
      </c>
      <c r="W49" s="366">
        <v>70</v>
      </c>
      <c r="X49" s="335"/>
      <c r="Y49" s="335"/>
      <c r="Z49" s="335"/>
      <c r="AA49" s="335"/>
      <c r="AB49" s="335"/>
      <c r="AC49" s="335"/>
      <c r="AD49" s="335"/>
      <c r="AE49" s="335"/>
    </row>
    <row r="50" spans="1:31" ht="15.75" customHeight="1" thickBot="1">
      <c r="A50" s="366">
        <v>80</v>
      </c>
      <c r="B50" s="370">
        <v>50.27</v>
      </c>
      <c r="C50" s="369">
        <f t="shared" si="4"/>
        <v>100.54</v>
      </c>
      <c r="D50" s="369">
        <f t="shared" si="4"/>
        <v>150.81</v>
      </c>
      <c r="E50" s="369">
        <f t="shared" si="4"/>
        <v>201.08</v>
      </c>
      <c r="F50" s="369">
        <f t="shared" si="4"/>
        <v>251.35000000000002</v>
      </c>
      <c r="G50" s="369">
        <f t="shared" si="4"/>
        <v>301.62</v>
      </c>
      <c r="H50" s="369">
        <f t="shared" si="4"/>
        <v>351.89000000000004</v>
      </c>
      <c r="I50" s="369">
        <f t="shared" si="4"/>
        <v>402.16</v>
      </c>
      <c r="J50" s="369">
        <f t="shared" si="4"/>
        <v>452.43</v>
      </c>
      <c r="K50" s="369">
        <f t="shared" si="4"/>
        <v>502.70000000000005</v>
      </c>
      <c r="L50" s="369">
        <f t="shared" si="4"/>
        <v>552.97</v>
      </c>
      <c r="M50" s="369">
        <f t="shared" si="5"/>
        <v>603.24</v>
      </c>
      <c r="N50" s="369">
        <f t="shared" si="5"/>
        <v>653.51</v>
      </c>
      <c r="O50" s="369">
        <f t="shared" si="5"/>
        <v>703.78000000000009</v>
      </c>
      <c r="P50" s="369">
        <f t="shared" si="5"/>
        <v>754.05000000000007</v>
      </c>
      <c r="Q50" s="369">
        <f t="shared" si="5"/>
        <v>804.32</v>
      </c>
      <c r="R50" s="369">
        <f t="shared" si="5"/>
        <v>854.59</v>
      </c>
      <c r="S50" s="369">
        <f t="shared" si="5"/>
        <v>904.86</v>
      </c>
      <c r="T50" s="369">
        <f t="shared" si="5"/>
        <v>955.13000000000011</v>
      </c>
      <c r="U50" s="368">
        <f t="shared" si="5"/>
        <v>1005.4000000000001</v>
      </c>
      <c r="V50" s="367">
        <f t="shared" si="3"/>
        <v>39.458403729087799</v>
      </c>
      <c r="W50" s="366">
        <v>80</v>
      </c>
      <c r="X50" s="335"/>
      <c r="Y50" s="335"/>
      <c r="Z50" s="335"/>
      <c r="AA50" s="335"/>
      <c r="AB50" s="335"/>
      <c r="AC50" s="335"/>
      <c r="AD50" s="335"/>
      <c r="AE50" s="335"/>
    </row>
    <row r="51" spans="1:31" ht="15.75" customHeight="1">
      <c r="A51" s="335"/>
      <c r="B51" s="335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35"/>
      <c r="AE51" s="335"/>
    </row>
    <row r="52" spans="1:31" ht="15.75" customHeight="1">
      <c r="A52" s="335"/>
      <c r="B52" s="335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</row>
    <row r="53" spans="1:31" ht="15.75" customHeight="1">
      <c r="A53" s="335"/>
      <c r="B53" s="335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</row>
    <row r="54" spans="1:31" ht="15.75" customHeight="1">
      <c r="A54" s="335"/>
      <c r="B54" s="335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</row>
    <row r="55" spans="1:31" ht="15.75" customHeight="1">
      <c r="A55" s="335"/>
      <c r="B55" s="335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5"/>
    </row>
    <row r="56" spans="1:31" ht="15.75" customHeight="1">
      <c r="A56" s="335"/>
      <c r="B56" s="335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5"/>
    </row>
    <row r="57" spans="1:31" ht="15.75" customHeight="1">
      <c r="A57" s="335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</row>
    <row r="58" spans="1:31" ht="15.75" customHeight="1">
      <c r="A58" s="335"/>
      <c r="B58" s="335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</row>
    <row r="59" spans="1:31" ht="15.75" customHeight="1">
      <c r="A59" s="335"/>
      <c r="B59" s="335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</row>
    <row r="60" spans="1:31" ht="15.75" customHeight="1">
      <c r="A60" s="335"/>
      <c r="B60" s="335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</row>
    <row r="61" spans="1:31" ht="15.75" customHeight="1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  <c r="AA61" s="335"/>
      <c r="AB61" s="335"/>
      <c r="AC61" s="335"/>
      <c r="AD61" s="335"/>
      <c r="AE61" s="335"/>
    </row>
    <row r="62" spans="1:31" ht="15.75" customHeight="1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</row>
    <row r="63" spans="1:31" ht="15.75" customHeight="1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5"/>
      <c r="AB63" s="335"/>
      <c r="AC63" s="335"/>
      <c r="AD63" s="335"/>
      <c r="AE63" s="335"/>
    </row>
    <row r="64" spans="1:31" ht="15.75" customHeight="1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  <c r="AA64" s="335"/>
      <c r="AB64" s="335"/>
      <c r="AC64" s="335"/>
      <c r="AD64" s="335"/>
      <c r="AE64" s="335"/>
    </row>
    <row r="65" spans="1:31" ht="15.75" customHeight="1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  <c r="AA65" s="335"/>
      <c r="AB65" s="335"/>
      <c r="AC65" s="335"/>
      <c r="AD65" s="335"/>
      <c r="AE65" s="335"/>
    </row>
    <row r="66" spans="1:31" ht="15.75" customHeight="1">
      <c r="A66" s="335"/>
      <c r="B66" s="335"/>
      <c r="C66" s="335"/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  <c r="AA66" s="335"/>
      <c r="AB66" s="335"/>
      <c r="AC66" s="335"/>
      <c r="AD66" s="335"/>
      <c r="AE66" s="335"/>
    </row>
    <row r="67" spans="1:31" ht="15.75" customHeight="1">
      <c r="A67" s="335"/>
      <c r="B67" s="335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C67" s="335"/>
      <c r="AD67" s="335"/>
      <c r="AE67" s="335"/>
    </row>
    <row r="68" spans="1:31" ht="15.75" customHeight="1">
      <c r="A68" s="335"/>
      <c r="B68" s="335"/>
      <c r="C68" s="335"/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</row>
    <row r="69" spans="1:31" ht="15.75" customHeight="1">
      <c r="A69" s="335"/>
      <c r="B69" s="335"/>
      <c r="C69" s="335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  <c r="AA69" s="335"/>
      <c r="AB69" s="335"/>
      <c r="AC69" s="335"/>
      <c r="AD69" s="335"/>
      <c r="AE69" s="335"/>
    </row>
    <row r="70" spans="1:31" ht="15.75" customHeight="1">
      <c r="A70" s="335"/>
      <c r="B70" s="335"/>
      <c r="C70" s="335"/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  <c r="AA70" s="335"/>
      <c r="AB70" s="335"/>
      <c r="AC70" s="335"/>
      <c r="AD70" s="335"/>
      <c r="AE70" s="335"/>
    </row>
    <row r="71" spans="1:31" ht="15.75" customHeight="1">
      <c r="A71" s="335"/>
      <c r="B71" s="335"/>
      <c r="C71" s="335"/>
      <c r="D71" s="335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  <c r="AA71" s="335"/>
      <c r="AB71" s="335"/>
      <c r="AC71" s="335"/>
      <c r="AD71" s="335"/>
      <c r="AE71" s="335"/>
    </row>
    <row r="72" spans="1:31" ht="15.75" customHeight="1">
      <c r="A72" s="335"/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  <c r="AA72" s="335"/>
      <c r="AB72" s="335"/>
      <c r="AC72" s="335"/>
      <c r="AD72" s="335"/>
      <c r="AE72" s="335"/>
    </row>
    <row r="73" spans="1:31" ht="15.75" customHeight="1">
      <c r="A73" s="335"/>
      <c r="B73" s="335"/>
      <c r="C73" s="335"/>
      <c r="D73" s="335"/>
      <c r="E73" s="335"/>
      <c r="F73" s="335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5"/>
      <c r="Z73" s="335"/>
      <c r="AA73" s="335"/>
      <c r="AB73" s="335"/>
      <c r="AC73" s="335"/>
      <c r="AD73" s="335"/>
      <c r="AE73" s="335"/>
    </row>
    <row r="74" spans="1:31" ht="15.75" customHeight="1">
      <c r="A74" s="335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335"/>
      <c r="AB74" s="335"/>
      <c r="AC74" s="335"/>
      <c r="AD74" s="335"/>
      <c r="AE74" s="335"/>
    </row>
    <row r="75" spans="1:31" ht="15.75" customHeight="1">
      <c r="A75" s="335"/>
      <c r="B75" s="335"/>
      <c r="C75" s="335"/>
      <c r="D75" s="335"/>
      <c r="E75" s="335"/>
      <c r="F75" s="335"/>
      <c r="G75" s="335"/>
      <c r="H75" s="335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</row>
    <row r="76" spans="1:31" ht="15.75" customHeight="1">
      <c r="A76" s="335"/>
      <c r="B76" s="335"/>
      <c r="C76" s="335"/>
      <c r="D76" s="335"/>
      <c r="E76" s="335"/>
      <c r="F76" s="335"/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</row>
    <row r="77" spans="1:31" ht="15.75" customHeight="1">
      <c r="A77" s="335"/>
      <c r="B77" s="335"/>
      <c r="C77" s="335"/>
      <c r="D77" s="335"/>
      <c r="E77" s="335"/>
      <c r="F77" s="335"/>
      <c r="G77" s="335"/>
      <c r="H77" s="335"/>
      <c r="I77" s="335"/>
      <c r="J77" s="335"/>
      <c r="K77" s="335"/>
      <c r="L77" s="335"/>
      <c r="M77" s="335"/>
      <c r="N77" s="335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  <c r="AA77" s="335"/>
      <c r="AB77" s="335"/>
      <c r="AC77" s="335"/>
      <c r="AD77" s="335"/>
      <c r="AE77" s="335"/>
    </row>
    <row r="78" spans="1:31" ht="15.75" customHeight="1">
      <c r="A78" s="335"/>
      <c r="B78" s="335"/>
      <c r="C78" s="335"/>
      <c r="D78" s="335"/>
      <c r="E78" s="335"/>
      <c r="F78" s="335"/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</row>
    <row r="79" spans="1:31" ht="15.75" customHeight="1">
      <c r="A79" s="335"/>
      <c r="B79" s="335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</row>
    <row r="80" spans="1:31" ht="15.75" customHeight="1">
      <c r="A80" s="335"/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  <c r="AA80" s="335"/>
      <c r="AB80" s="335"/>
      <c r="AC80" s="335"/>
      <c r="AD80" s="335"/>
      <c r="AE80" s="335"/>
    </row>
    <row r="81" spans="1:31" ht="15.75" customHeight="1">
      <c r="A81" s="335"/>
      <c r="B81" s="335"/>
      <c r="C81" s="335"/>
      <c r="D81" s="335"/>
      <c r="E81" s="335"/>
      <c r="F81" s="335"/>
      <c r="G81" s="335"/>
      <c r="H81" s="335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</row>
    <row r="82" spans="1:31" ht="15.75" customHeight="1">
      <c r="A82" s="335"/>
      <c r="B82" s="335"/>
      <c r="C82" s="335"/>
      <c r="D82" s="335"/>
      <c r="E82" s="335"/>
      <c r="F82" s="335"/>
      <c r="G82" s="335"/>
      <c r="H82" s="335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</row>
    <row r="83" spans="1:31" ht="15.75" customHeight="1">
      <c r="A83" s="335"/>
      <c r="B83" s="335"/>
      <c r="C83" s="335"/>
      <c r="D83" s="335"/>
      <c r="E83" s="335"/>
      <c r="F83" s="335"/>
      <c r="G83" s="335"/>
      <c r="H83" s="335"/>
      <c r="I83" s="335"/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5"/>
      <c r="Y83" s="335"/>
      <c r="Z83" s="335"/>
      <c r="AA83" s="335"/>
      <c r="AB83" s="335"/>
      <c r="AC83" s="335"/>
      <c r="AD83" s="335"/>
      <c r="AE83" s="335"/>
    </row>
    <row r="84" spans="1:31" ht="15.75" customHeight="1">
      <c r="A84" s="335"/>
      <c r="B84" s="335"/>
      <c r="C84" s="335"/>
      <c r="D84" s="335"/>
      <c r="E84" s="335"/>
      <c r="F84" s="335"/>
      <c r="G84" s="335"/>
      <c r="H84" s="335"/>
      <c r="I84" s="335"/>
      <c r="J84" s="335"/>
      <c r="K84" s="335"/>
      <c r="L84" s="335"/>
      <c r="M84" s="335"/>
      <c r="N84" s="335"/>
      <c r="O84" s="335"/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</row>
    <row r="85" spans="1:31" ht="15.75" customHeight="1">
      <c r="A85" s="335"/>
      <c r="B85" s="335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</row>
    <row r="86" spans="1:31" ht="15.75" customHeight="1">
      <c r="A86" s="335"/>
      <c r="B86" s="335"/>
      <c r="C86" s="335"/>
      <c r="D86" s="335"/>
      <c r="E86" s="335"/>
      <c r="F86" s="335"/>
      <c r="G86" s="335"/>
      <c r="H86" s="335"/>
      <c r="I86" s="335"/>
      <c r="J86" s="335"/>
      <c r="K86" s="335"/>
      <c r="L86" s="335"/>
      <c r="M86" s="335"/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  <c r="AA86" s="335"/>
      <c r="AB86" s="335"/>
      <c r="AC86" s="335"/>
      <c r="AD86" s="335"/>
      <c r="AE86" s="335"/>
    </row>
    <row r="87" spans="1:31" ht="15.75" customHeight="1">
      <c r="A87" s="335"/>
      <c r="B87" s="335"/>
      <c r="C87" s="335"/>
      <c r="D87" s="335"/>
      <c r="E87" s="335"/>
      <c r="F87" s="335"/>
      <c r="G87" s="335"/>
      <c r="H87" s="335"/>
      <c r="I87" s="335"/>
      <c r="J87" s="335"/>
      <c r="K87" s="335"/>
      <c r="L87" s="335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</row>
    <row r="88" spans="1:31" ht="15.75" customHeight="1">
      <c r="A88" s="335"/>
      <c r="B88" s="335"/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</row>
    <row r="89" spans="1:31" ht="15.75" customHeight="1">
      <c r="A89" s="335"/>
      <c r="B89" s="335"/>
      <c r="C89" s="335"/>
      <c r="D89" s="335"/>
      <c r="E89" s="335"/>
      <c r="F89" s="335"/>
      <c r="G89" s="335"/>
      <c r="H89" s="335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5"/>
      <c r="W89" s="335"/>
      <c r="X89" s="335"/>
      <c r="Y89" s="335"/>
      <c r="Z89" s="335"/>
      <c r="AA89" s="335"/>
      <c r="AB89" s="335"/>
      <c r="AC89" s="335"/>
      <c r="AD89" s="335"/>
      <c r="AE89" s="335"/>
    </row>
    <row r="90" spans="1:31" ht="15.75" customHeight="1">
      <c r="A90" s="335"/>
      <c r="B90" s="335"/>
      <c r="C90" s="335"/>
      <c r="D90" s="335"/>
      <c r="E90" s="335"/>
      <c r="F90" s="335"/>
      <c r="G90" s="335"/>
      <c r="H90" s="335"/>
      <c r="I90" s="335"/>
      <c r="J90" s="335"/>
      <c r="K90" s="335"/>
      <c r="L90" s="335"/>
      <c r="M90" s="335"/>
      <c r="N90" s="335"/>
      <c r="O90" s="335"/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</row>
    <row r="91" spans="1:31" ht="15.75" customHeight="1">
      <c r="A91" s="335"/>
      <c r="B91" s="335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</row>
    <row r="92" spans="1:31" ht="15.75" customHeight="1">
      <c r="A92" s="335"/>
      <c r="B92" s="335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  <c r="AA92" s="335"/>
      <c r="AB92" s="335"/>
      <c r="AC92" s="335"/>
      <c r="AD92" s="335"/>
      <c r="AE92" s="335"/>
    </row>
    <row r="93" spans="1:31" ht="15.75" customHeight="1">
      <c r="A93" s="335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  <c r="AA93" s="335"/>
      <c r="AB93" s="335"/>
      <c r="AC93" s="335"/>
      <c r="AD93" s="335"/>
      <c r="AE93" s="335"/>
    </row>
    <row r="94" spans="1:31" ht="15.75" customHeight="1">
      <c r="A94" s="335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  <c r="AA94" s="335"/>
      <c r="AB94" s="335"/>
      <c r="AC94" s="335"/>
      <c r="AD94" s="335"/>
      <c r="AE94" s="335"/>
    </row>
    <row r="95" spans="1:31" ht="15.75" customHeight="1">
      <c r="A95" s="335"/>
      <c r="B95" s="335"/>
      <c r="C95" s="335"/>
      <c r="D95" s="335"/>
      <c r="E95" s="335"/>
      <c r="F95" s="335"/>
      <c r="G95" s="335"/>
      <c r="H95" s="335"/>
      <c r="I95" s="335"/>
      <c r="J95" s="335"/>
      <c r="K95" s="335"/>
      <c r="L95" s="335"/>
      <c r="M95" s="335"/>
      <c r="N95" s="335"/>
      <c r="O95" s="335"/>
      <c r="P95" s="335"/>
      <c r="Q95" s="335"/>
      <c r="R95" s="335"/>
      <c r="S95" s="335"/>
      <c r="T95" s="335"/>
      <c r="U95" s="335"/>
      <c r="V95" s="335"/>
      <c r="W95" s="335"/>
      <c r="X95" s="335"/>
      <c r="Y95" s="335"/>
      <c r="Z95" s="335"/>
      <c r="AA95" s="335"/>
      <c r="AB95" s="335"/>
      <c r="AC95" s="335"/>
      <c r="AD95" s="335"/>
      <c r="AE95" s="335"/>
    </row>
    <row r="96" spans="1:31" ht="15.75" customHeight="1">
      <c r="A96" s="335"/>
      <c r="B96" s="335"/>
      <c r="C96" s="335"/>
      <c r="D96" s="335"/>
      <c r="E96" s="335"/>
      <c r="F96" s="335"/>
      <c r="G96" s="335"/>
      <c r="H96" s="335"/>
      <c r="I96" s="335"/>
      <c r="J96" s="335"/>
      <c r="K96" s="335"/>
      <c r="L96" s="335"/>
      <c r="M96" s="335"/>
      <c r="N96" s="335"/>
      <c r="O96" s="335"/>
      <c r="P96" s="335"/>
      <c r="Q96" s="335"/>
      <c r="R96" s="335"/>
      <c r="S96" s="335"/>
      <c r="T96" s="335"/>
      <c r="U96" s="335"/>
      <c r="V96" s="335"/>
      <c r="W96" s="335"/>
      <c r="X96" s="335"/>
      <c r="Y96" s="335"/>
      <c r="Z96" s="335"/>
      <c r="AA96" s="335"/>
      <c r="AB96" s="335"/>
      <c r="AC96" s="335"/>
      <c r="AD96" s="335"/>
      <c r="AE96" s="335"/>
    </row>
    <row r="97" spans="1:31" ht="15.75" customHeight="1">
      <c r="A97" s="335"/>
      <c r="B97" s="335"/>
      <c r="C97" s="335"/>
      <c r="D97" s="335"/>
      <c r="E97" s="335"/>
      <c r="F97" s="335"/>
      <c r="G97" s="335"/>
      <c r="H97" s="335"/>
      <c r="I97" s="335"/>
      <c r="J97" s="335"/>
      <c r="K97" s="335"/>
      <c r="L97" s="335"/>
      <c r="M97" s="335"/>
      <c r="N97" s="335"/>
      <c r="O97" s="335"/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</row>
    <row r="98" spans="1:31" ht="15.75" customHeight="1">
      <c r="A98" s="335"/>
      <c r="B98" s="335"/>
      <c r="C98" s="335"/>
      <c r="D98" s="335"/>
      <c r="E98" s="335"/>
      <c r="F98" s="335"/>
      <c r="G98" s="335"/>
      <c r="H98" s="335"/>
      <c r="I98" s="335"/>
      <c r="J98" s="335"/>
      <c r="K98" s="335"/>
      <c r="L98" s="335"/>
      <c r="M98" s="335"/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  <c r="AA98" s="335"/>
      <c r="AB98" s="335"/>
      <c r="AC98" s="335"/>
      <c r="AD98" s="335"/>
      <c r="AE98" s="335"/>
    </row>
    <row r="99" spans="1:31" ht="15.75" customHeight="1">
      <c r="A99" s="335"/>
      <c r="B99" s="335"/>
      <c r="C99" s="335"/>
      <c r="D99" s="335"/>
      <c r="E99" s="335"/>
      <c r="F99" s="335"/>
      <c r="G99" s="335"/>
      <c r="H99" s="335"/>
      <c r="I99" s="335"/>
      <c r="J99" s="335"/>
      <c r="K99" s="335"/>
      <c r="L99" s="335"/>
      <c r="M99" s="335"/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  <c r="AA99" s="335"/>
      <c r="AB99" s="335"/>
      <c r="AC99" s="335"/>
      <c r="AD99" s="335"/>
      <c r="AE99" s="335"/>
    </row>
    <row r="100" spans="1:31" ht="15.75" customHeight="1">
      <c r="A100" s="335"/>
      <c r="B100" s="335"/>
      <c r="C100" s="335"/>
      <c r="D100" s="335"/>
      <c r="E100" s="335"/>
      <c r="F100" s="335"/>
      <c r="G100" s="335"/>
      <c r="H100" s="335"/>
      <c r="I100" s="335"/>
      <c r="J100" s="335"/>
      <c r="K100" s="335"/>
      <c r="L100" s="335"/>
      <c r="M100" s="335"/>
      <c r="N100" s="335"/>
      <c r="O100" s="335"/>
      <c r="P100" s="335"/>
      <c r="Q100" s="335"/>
      <c r="R100" s="335"/>
      <c r="S100" s="335"/>
      <c r="T100" s="335"/>
      <c r="U100" s="335"/>
      <c r="V100" s="335"/>
      <c r="W100" s="335"/>
      <c r="X100" s="335"/>
      <c r="Y100" s="335"/>
      <c r="Z100" s="335"/>
      <c r="AA100" s="335"/>
      <c r="AB100" s="335"/>
      <c r="AC100" s="335"/>
      <c r="AD100" s="335"/>
      <c r="AE100" s="335"/>
    </row>
    <row r="101" spans="1:31" ht="15.75" customHeight="1">
      <c r="A101" s="335"/>
      <c r="B101" s="335"/>
      <c r="C101" s="335"/>
      <c r="D101" s="335"/>
      <c r="E101" s="335"/>
      <c r="F101" s="335"/>
      <c r="G101" s="335"/>
      <c r="H101" s="335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  <c r="AA101" s="335"/>
      <c r="AB101" s="335"/>
      <c r="AC101" s="335"/>
      <c r="AD101" s="335"/>
      <c r="AE101" s="335"/>
    </row>
    <row r="102" spans="1:31" ht="15.75" customHeight="1">
      <c r="A102" s="335"/>
      <c r="B102" s="335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335"/>
      <c r="AB102" s="335"/>
      <c r="AC102" s="335"/>
      <c r="AD102" s="335"/>
      <c r="AE102" s="335"/>
    </row>
    <row r="103" spans="1:31" ht="15.75" customHeight="1">
      <c r="A103" s="335"/>
      <c r="B103" s="335"/>
      <c r="C103" s="335"/>
      <c r="D103" s="335"/>
      <c r="E103" s="335"/>
      <c r="F103" s="335"/>
      <c r="G103" s="335"/>
      <c r="H103" s="335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5"/>
      <c r="AB103" s="335"/>
      <c r="AC103" s="335"/>
      <c r="AD103" s="335"/>
      <c r="AE103" s="335"/>
    </row>
    <row r="104" spans="1:31" ht="15.75" customHeight="1">
      <c r="A104" s="335"/>
      <c r="B104" s="335"/>
      <c r="C104" s="335"/>
      <c r="D104" s="335"/>
      <c r="E104" s="335"/>
      <c r="F104" s="335"/>
      <c r="G104" s="335"/>
      <c r="H104" s="335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5"/>
      <c r="AB104" s="335"/>
      <c r="AC104" s="335"/>
      <c r="AD104" s="335"/>
      <c r="AE104" s="335"/>
    </row>
    <row r="105" spans="1:31" ht="15.75" customHeight="1">
      <c r="A105" s="335"/>
      <c r="B105" s="335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  <c r="AA105" s="335"/>
      <c r="AB105" s="335"/>
      <c r="AC105" s="335"/>
      <c r="AD105" s="335"/>
      <c r="AE105" s="335"/>
    </row>
    <row r="106" spans="1:31" ht="15.75" customHeight="1">
      <c r="A106" s="335"/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  <c r="AA106" s="335"/>
      <c r="AB106" s="335"/>
      <c r="AC106" s="335"/>
      <c r="AD106" s="335"/>
      <c r="AE106" s="335"/>
    </row>
    <row r="107" spans="1:31" ht="15.75" customHeight="1">
      <c r="A107" s="335"/>
      <c r="B107" s="335"/>
      <c r="C107" s="335"/>
      <c r="D107" s="335"/>
      <c r="E107" s="335"/>
      <c r="F107" s="335"/>
      <c r="G107" s="335"/>
      <c r="H107" s="335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  <c r="AA107" s="335"/>
      <c r="AB107" s="335"/>
      <c r="AC107" s="335"/>
      <c r="AD107" s="335"/>
      <c r="AE107" s="335"/>
    </row>
    <row r="108" spans="1:31" ht="15.75" customHeight="1">
      <c r="A108" s="335"/>
      <c r="B108" s="335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335"/>
      <c r="AB108" s="335"/>
      <c r="AC108" s="335"/>
      <c r="AD108" s="335"/>
      <c r="AE108" s="335"/>
    </row>
    <row r="109" spans="1:31" ht="15.75" customHeight="1">
      <c r="A109" s="335"/>
      <c r="B109" s="335"/>
      <c r="C109" s="335"/>
      <c r="D109" s="335"/>
      <c r="E109" s="335"/>
      <c r="F109" s="335"/>
      <c r="G109" s="335"/>
      <c r="H109" s="335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  <c r="AA109" s="335"/>
      <c r="AB109" s="335"/>
      <c r="AC109" s="335"/>
      <c r="AD109" s="335"/>
      <c r="AE109" s="335"/>
    </row>
    <row r="110" spans="1:31" ht="15.75" customHeight="1">
      <c r="A110" s="335"/>
      <c r="B110" s="335"/>
      <c r="C110" s="335"/>
      <c r="D110" s="335"/>
      <c r="E110" s="335"/>
      <c r="F110" s="335"/>
      <c r="G110" s="335"/>
      <c r="H110" s="335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  <c r="AA110" s="335"/>
      <c r="AB110" s="335"/>
      <c r="AC110" s="335"/>
      <c r="AD110" s="335"/>
      <c r="AE110" s="335"/>
    </row>
    <row r="111" spans="1:31" ht="15.75" customHeight="1">
      <c r="A111" s="335"/>
      <c r="B111" s="335"/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5"/>
      <c r="AB111" s="335"/>
      <c r="AC111" s="335"/>
      <c r="AD111" s="335"/>
      <c r="AE111" s="335"/>
    </row>
    <row r="112" spans="1:31" ht="15.75" customHeight="1">
      <c r="A112" s="335"/>
      <c r="B112" s="335"/>
      <c r="C112" s="335"/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5"/>
      <c r="AB112" s="335"/>
      <c r="AC112" s="335"/>
      <c r="AD112" s="335"/>
      <c r="AE112" s="335"/>
    </row>
    <row r="113" spans="1:31" ht="15.75" customHeight="1">
      <c r="A113" s="335"/>
      <c r="B113" s="335"/>
      <c r="C113" s="335"/>
      <c r="D113" s="335"/>
      <c r="E113" s="335"/>
      <c r="F113" s="335"/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  <c r="AA113" s="335"/>
      <c r="AB113" s="335"/>
      <c r="AC113" s="335"/>
      <c r="AD113" s="335"/>
      <c r="AE113" s="335"/>
    </row>
    <row r="114" spans="1:31" ht="15.75" customHeight="1">
      <c r="A114" s="335"/>
      <c r="B114" s="335"/>
      <c r="C114" s="335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5"/>
      <c r="AB114" s="335"/>
      <c r="AC114" s="335"/>
      <c r="AD114" s="335"/>
      <c r="AE114" s="335"/>
    </row>
    <row r="115" spans="1:31" ht="15.75" customHeight="1">
      <c r="A115" s="335"/>
      <c r="B115" s="335"/>
      <c r="C115" s="335"/>
      <c r="D115" s="335"/>
      <c r="E115" s="335"/>
      <c r="F115" s="335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  <c r="AA115" s="335"/>
      <c r="AB115" s="335"/>
      <c r="AC115" s="335"/>
      <c r="AD115" s="335"/>
      <c r="AE115" s="335"/>
    </row>
    <row r="116" spans="1:31" ht="15.75" customHeight="1">
      <c r="A116" s="335"/>
      <c r="B116" s="335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5"/>
      <c r="AB116" s="335"/>
      <c r="AC116" s="335"/>
      <c r="AD116" s="335"/>
      <c r="AE116" s="335"/>
    </row>
    <row r="117" spans="1:31" ht="15.75" customHeight="1">
      <c r="A117" s="335"/>
      <c r="B117" s="335"/>
      <c r="C117" s="335"/>
      <c r="D117" s="335"/>
      <c r="E117" s="335"/>
      <c r="F117" s="335"/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5"/>
      <c r="AB117" s="335"/>
      <c r="AC117" s="335"/>
      <c r="AD117" s="335"/>
      <c r="AE117" s="335"/>
    </row>
    <row r="118" spans="1:31" ht="15.75" customHeight="1">
      <c r="A118" s="335"/>
      <c r="B118" s="335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5"/>
      <c r="AB118" s="335"/>
      <c r="AC118" s="335"/>
      <c r="AD118" s="335"/>
      <c r="AE118" s="335"/>
    </row>
    <row r="119" spans="1:31" ht="15.75" customHeight="1">
      <c r="A119" s="335"/>
      <c r="B119" s="335"/>
      <c r="C119" s="335"/>
      <c r="D119" s="335"/>
      <c r="E119" s="335"/>
      <c r="F119" s="335"/>
      <c r="G119" s="335"/>
      <c r="H119" s="335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  <c r="AA119" s="335"/>
      <c r="AB119" s="335"/>
      <c r="AC119" s="335"/>
      <c r="AD119" s="335"/>
      <c r="AE119" s="335"/>
    </row>
    <row r="120" spans="1:31" ht="15.75" customHeight="1">
      <c r="A120" s="335"/>
      <c r="B120" s="335"/>
      <c r="C120" s="335"/>
      <c r="D120" s="335"/>
      <c r="E120" s="335"/>
      <c r="F120" s="335"/>
      <c r="G120" s="335"/>
      <c r="H120" s="335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  <c r="AA120" s="335"/>
      <c r="AB120" s="335"/>
      <c r="AC120" s="335"/>
      <c r="AD120" s="335"/>
      <c r="AE120" s="335"/>
    </row>
    <row r="121" spans="1:31" ht="15.75" customHeight="1">
      <c r="A121" s="335"/>
      <c r="B121" s="335"/>
      <c r="C121" s="335"/>
      <c r="D121" s="335"/>
      <c r="E121" s="335"/>
      <c r="F121" s="335"/>
      <c r="G121" s="335"/>
      <c r="H121" s="335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  <c r="AA121" s="335"/>
      <c r="AB121" s="335"/>
      <c r="AC121" s="335"/>
      <c r="AD121" s="335"/>
      <c r="AE121" s="335"/>
    </row>
    <row r="122" spans="1:31" ht="15.75" customHeight="1">
      <c r="A122" s="335"/>
      <c r="B122" s="335"/>
      <c r="C122" s="335"/>
      <c r="D122" s="335"/>
      <c r="E122" s="335"/>
      <c r="F122" s="335"/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  <c r="AA122" s="335"/>
      <c r="AB122" s="335"/>
      <c r="AC122" s="335"/>
      <c r="AD122" s="335"/>
      <c r="AE122" s="335"/>
    </row>
    <row r="123" spans="1:31" ht="15.75" customHeight="1">
      <c r="A123" s="335"/>
      <c r="B123" s="335"/>
      <c r="C123" s="335"/>
      <c r="D123" s="335"/>
      <c r="E123" s="335"/>
      <c r="F123" s="335"/>
      <c r="G123" s="335"/>
      <c r="H123" s="335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  <c r="AA123" s="335"/>
      <c r="AB123" s="335"/>
      <c r="AC123" s="335"/>
      <c r="AD123" s="335"/>
      <c r="AE123" s="335"/>
    </row>
    <row r="124" spans="1:31" ht="15.75" customHeight="1">
      <c r="A124" s="335"/>
      <c r="B124" s="335"/>
      <c r="C124" s="335"/>
      <c r="D124" s="335"/>
      <c r="E124" s="335"/>
      <c r="F124" s="335"/>
      <c r="G124" s="335"/>
      <c r="H124" s="335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  <c r="AA124" s="335"/>
      <c r="AB124" s="335"/>
      <c r="AC124" s="335"/>
      <c r="AD124" s="335"/>
      <c r="AE124" s="335"/>
    </row>
    <row r="125" spans="1:31" ht="15.75" customHeight="1">
      <c r="A125" s="335"/>
      <c r="B125" s="335"/>
      <c r="C125" s="335"/>
      <c r="D125" s="335"/>
      <c r="E125" s="335"/>
      <c r="F125" s="335"/>
      <c r="G125" s="335"/>
      <c r="H125" s="335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  <c r="AA125" s="335"/>
      <c r="AB125" s="335"/>
      <c r="AC125" s="335"/>
      <c r="AD125" s="335"/>
      <c r="AE125" s="335"/>
    </row>
    <row r="126" spans="1:31" ht="15.75" customHeight="1">
      <c r="A126" s="335"/>
      <c r="B126" s="335"/>
      <c r="C126" s="335"/>
      <c r="D126" s="335"/>
      <c r="E126" s="335"/>
      <c r="F126" s="335"/>
      <c r="G126" s="335"/>
      <c r="H126" s="335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  <c r="AA126" s="335"/>
      <c r="AB126" s="335"/>
      <c r="AC126" s="335"/>
      <c r="AD126" s="335"/>
      <c r="AE126" s="335"/>
    </row>
    <row r="127" spans="1:31" ht="15.75" customHeight="1">
      <c r="A127" s="335"/>
      <c r="B127" s="335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  <c r="AA127" s="335"/>
      <c r="AB127" s="335"/>
      <c r="AC127" s="335"/>
      <c r="AD127" s="335"/>
      <c r="AE127" s="335"/>
    </row>
    <row r="128" spans="1:31" ht="15.75" customHeight="1">
      <c r="A128" s="335"/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335"/>
      <c r="AB128" s="335"/>
      <c r="AC128" s="335"/>
      <c r="AD128" s="335"/>
      <c r="AE128" s="335"/>
    </row>
    <row r="129" spans="1:31" ht="15.75" customHeight="1">
      <c r="A129" s="335"/>
      <c r="B129" s="335"/>
      <c r="C129" s="335"/>
      <c r="D129" s="335"/>
      <c r="E129" s="335"/>
      <c r="F129" s="335"/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  <c r="AA129" s="335"/>
      <c r="AB129" s="335"/>
      <c r="AC129" s="335"/>
      <c r="AD129" s="335"/>
      <c r="AE129" s="335"/>
    </row>
    <row r="130" spans="1:31" ht="15.75" customHeight="1">
      <c r="A130" s="335"/>
      <c r="B130" s="335"/>
      <c r="C130" s="335"/>
      <c r="D130" s="335"/>
      <c r="E130" s="335"/>
      <c r="F130" s="335"/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5"/>
      <c r="AB130" s="335"/>
      <c r="AC130" s="335"/>
      <c r="AD130" s="335"/>
      <c r="AE130" s="335"/>
    </row>
    <row r="131" spans="1:31" ht="15.75" customHeight="1">
      <c r="A131" s="335"/>
      <c r="B131" s="335"/>
      <c r="C131" s="335"/>
      <c r="D131" s="335"/>
      <c r="E131" s="335"/>
      <c r="F131" s="335"/>
      <c r="G131" s="335"/>
      <c r="H131" s="335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  <c r="AA131" s="335"/>
      <c r="AB131" s="335"/>
      <c r="AC131" s="335"/>
      <c r="AD131" s="335"/>
      <c r="AE131" s="335"/>
    </row>
    <row r="132" spans="1:31" ht="15.75" customHeight="1">
      <c r="A132" s="335"/>
      <c r="B132" s="335"/>
      <c r="C132" s="335"/>
      <c r="D132" s="335"/>
      <c r="E132" s="335"/>
      <c r="F132" s="335"/>
      <c r="G132" s="335"/>
      <c r="H132" s="335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  <c r="AA132" s="335"/>
      <c r="AB132" s="335"/>
      <c r="AC132" s="335"/>
      <c r="AD132" s="335"/>
      <c r="AE132" s="335"/>
    </row>
    <row r="133" spans="1:31" ht="15.75" customHeight="1">
      <c r="A133" s="335"/>
      <c r="B133" s="335"/>
      <c r="C133" s="335"/>
      <c r="D133" s="335"/>
      <c r="E133" s="335"/>
      <c r="F133" s="335"/>
      <c r="G133" s="335"/>
      <c r="H133" s="335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  <c r="AA133" s="335"/>
      <c r="AB133" s="335"/>
      <c r="AC133" s="335"/>
      <c r="AD133" s="335"/>
      <c r="AE133" s="335"/>
    </row>
    <row r="134" spans="1:31" ht="15.75" customHeight="1">
      <c r="A134" s="335"/>
      <c r="B134" s="335"/>
      <c r="C134" s="335"/>
      <c r="D134" s="335"/>
      <c r="E134" s="335"/>
      <c r="F134" s="335"/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  <c r="AA134" s="335"/>
      <c r="AB134" s="335"/>
      <c r="AC134" s="335"/>
      <c r="AD134" s="335"/>
      <c r="AE134" s="335"/>
    </row>
    <row r="135" spans="1:31" ht="15.75" customHeight="1">
      <c r="A135" s="335"/>
      <c r="B135" s="335"/>
      <c r="C135" s="335"/>
      <c r="D135" s="335"/>
      <c r="E135" s="335"/>
      <c r="F135" s="335"/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  <c r="AA135" s="335"/>
      <c r="AB135" s="335"/>
      <c r="AC135" s="335"/>
      <c r="AD135" s="335"/>
      <c r="AE135" s="335"/>
    </row>
    <row r="136" spans="1:31" ht="15.75" customHeight="1">
      <c r="A136" s="335"/>
      <c r="B136" s="335"/>
      <c r="C136" s="335"/>
      <c r="D136" s="335"/>
      <c r="E136" s="335"/>
      <c r="F136" s="335"/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  <c r="AA136" s="335"/>
      <c r="AB136" s="335"/>
      <c r="AC136" s="335"/>
      <c r="AD136" s="335"/>
      <c r="AE136" s="335"/>
    </row>
    <row r="137" spans="1:31" ht="15.75" customHeight="1">
      <c r="A137" s="335"/>
      <c r="B137" s="335"/>
      <c r="C137" s="335"/>
      <c r="D137" s="335"/>
      <c r="E137" s="335"/>
      <c r="F137" s="335"/>
      <c r="G137" s="335"/>
      <c r="H137" s="335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  <c r="AA137" s="335"/>
      <c r="AB137" s="335"/>
      <c r="AC137" s="335"/>
      <c r="AD137" s="335"/>
      <c r="AE137" s="335"/>
    </row>
    <row r="138" spans="1:31" ht="15.75" customHeight="1">
      <c r="A138" s="335"/>
      <c r="B138" s="335"/>
      <c r="C138" s="335"/>
      <c r="D138" s="335"/>
      <c r="E138" s="335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5"/>
      <c r="AB138" s="335"/>
      <c r="AC138" s="335"/>
      <c r="AD138" s="335"/>
      <c r="AE138" s="335"/>
    </row>
    <row r="139" spans="1:31" ht="15.75" customHeight="1">
      <c r="A139" s="335"/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  <c r="AA139" s="335"/>
      <c r="AB139" s="335"/>
      <c r="AC139" s="335"/>
      <c r="AD139" s="335"/>
      <c r="AE139" s="335"/>
    </row>
    <row r="140" spans="1:31" ht="15.75" customHeight="1">
      <c r="A140" s="335"/>
      <c r="B140" s="335"/>
      <c r="C140" s="335"/>
      <c r="D140" s="335"/>
      <c r="E140" s="335"/>
      <c r="F140" s="335"/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  <c r="AA140" s="335"/>
      <c r="AB140" s="335"/>
      <c r="AC140" s="335"/>
      <c r="AD140" s="335"/>
      <c r="AE140" s="335"/>
    </row>
    <row r="141" spans="1:31" ht="15.75" customHeight="1">
      <c r="A141" s="335"/>
      <c r="B141" s="335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  <c r="AA141" s="335"/>
      <c r="AB141" s="335"/>
      <c r="AC141" s="335"/>
      <c r="AD141" s="335"/>
      <c r="AE141" s="335"/>
    </row>
    <row r="142" spans="1:31" ht="15.75" customHeight="1">
      <c r="A142" s="335"/>
      <c r="B142" s="335"/>
      <c r="C142" s="335"/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  <c r="AA142" s="335"/>
      <c r="AB142" s="335"/>
      <c r="AC142" s="335"/>
      <c r="AD142" s="335"/>
      <c r="AE142" s="335"/>
    </row>
    <row r="143" spans="1:31" ht="15.75" customHeight="1">
      <c r="A143" s="335"/>
      <c r="B143" s="335"/>
      <c r="C143" s="335"/>
      <c r="D143" s="335"/>
      <c r="E143" s="335"/>
      <c r="F143" s="335"/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  <c r="AA143" s="335"/>
      <c r="AB143" s="335"/>
      <c r="AC143" s="335"/>
      <c r="AD143" s="335"/>
      <c r="AE143" s="335"/>
    </row>
    <row r="144" spans="1:31" ht="15.75" customHeight="1">
      <c r="A144" s="335"/>
      <c r="B144" s="335"/>
      <c r="C144" s="335"/>
      <c r="D144" s="335"/>
      <c r="E144" s="335"/>
      <c r="F144" s="335"/>
      <c r="G144" s="335"/>
      <c r="H144" s="335"/>
      <c r="I144" s="335"/>
      <c r="J144" s="335"/>
      <c r="K144" s="335"/>
      <c r="L144" s="335"/>
      <c r="M144" s="335"/>
      <c r="N144" s="335"/>
      <c r="O144" s="335"/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  <c r="AA144" s="335"/>
      <c r="AB144" s="335"/>
      <c r="AC144" s="335"/>
      <c r="AD144" s="335"/>
      <c r="AE144" s="335"/>
    </row>
    <row r="145" spans="1:31" ht="15.75" customHeight="1">
      <c r="A145" s="335"/>
      <c r="B145" s="335"/>
      <c r="C145" s="335"/>
      <c r="D145" s="335"/>
      <c r="E145" s="335"/>
      <c r="F145" s="335"/>
      <c r="G145" s="335"/>
      <c r="H145" s="335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  <c r="AA145" s="335"/>
      <c r="AB145" s="335"/>
      <c r="AC145" s="335"/>
      <c r="AD145" s="335"/>
      <c r="AE145" s="335"/>
    </row>
    <row r="146" spans="1:31" ht="15.75" customHeight="1">
      <c r="A146" s="335"/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335"/>
      <c r="AB146" s="335"/>
      <c r="AC146" s="335"/>
      <c r="AD146" s="335"/>
      <c r="AE146" s="335"/>
    </row>
    <row r="147" spans="1:31" ht="15.75" customHeight="1">
      <c r="A147" s="335"/>
      <c r="B147" s="335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  <c r="AA147" s="335"/>
      <c r="AB147" s="335"/>
      <c r="AC147" s="335"/>
      <c r="AD147" s="335"/>
      <c r="AE147" s="335"/>
    </row>
    <row r="148" spans="1:31" ht="15.75" customHeight="1">
      <c r="A148" s="335"/>
      <c r="B148" s="335"/>
      <c r="C148" s="335"/>
      <c r="D148" s="335"/>
      <c r="E148" s="335"/>
      <c r="F148" s="335"/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  <c r="AA148" s="335"/>
      <c r="AB148" s="335"/>
      <c r="AC148" s="335"/>
      <c r="AD148" s="335"/>
      <c r="AE148" s="335"/>
    </row>
    <row r="149" spans="1:31" ht="15.75" customHeight="1">
      <c r="A149" s="335"/>
      <c r="B149" s="335"/>
      <c r="C149" s="335"/>
      <c r="D149" s="335"/>
      <c r="E149" s="335"/>
      <c r="F149" s="335"/>
      <c r="G149" s="335"/>
      <c r="H149" s="335"/>
      <c r="I149" s="335"/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  <c r="AA149" s="335"/>
      <c r="AB149" s="335"/>
      <c r="AC149" s="335"/>
      <c r="AD149" s="335"/>
      <c r="AE149" s="335"/>
    </row>
    <row r="150" spans="1:31" ht="15.75" customHeight="1">
      <c r="A150" s="335"/>
      <c r="B150" s="335"/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  <c r="AA150" s="335"/>
      <c r="AB150" s="335"/>
      <c r="AC150" s="335"/>
      <c r="AD150" s="335"/>
      <c r="AE150" s="335"/>
    </row>
    <row r="151" spans="1:31" ht="15.75" customHeight="1">
      <c r="A151" s="335"/>
      <c r="B151" s="335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  <c r="AA151" s="335"/>
      <c r="AB151" s="335"/>
      <c r="AC151" s="335"/>
      <c r="AD151" s="335"/>
      <c r="AE151" s="335"/>
    </row>
    <row r="152" spans="1:31" ht="15.75" customHeight="1">
      <c r="A152" s="335"/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335"/>
      <c r="AB152" s="335"/>
      <c r="AC152" s="335"/>
      <c r="AD152" s="335"/>
      <c r="AE152" s="335"/>
    </row>
    <row r="153" spans="1:31" ht="15.75" customHeight="1">
      <c r="A153" s="335"/>
      <c r="B153" s="335"/>
      <c r="C153" s="335"/>
      <c r="D153" s="335"/>
      <c r="E153" s="335"/>
      <c r="F153" s="335"/>
      <c r="G153" s="335"/>
      <c r="H153" s="335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  <c r="AA153" s="335"/>
      <c r="AB153" s="335"/>
      <c r="AC153" s="335"/>
      <c r="AD153" s="335"/>
      <c r="AE153" s="335"/>
    </row>
    <row r="154" spans="1:31" ht="15.75" customHeight="1">
      <c r="A154" s="335"/>
      <c r="B154" s="335"/>
      <c r="C154" s="335"/>
      <c r="D154" s="335"/>
      <c r="E154" s="335"/>
      <c r="F154" s="335"/>
      <c r="G154" s="335"/>
      <c r="H154" s="335"/>
      <c r="I154" s="335"/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  <c r="AA154" s="335"/>
      <c r="AB154" s="335"/>
      <c r="AC154" s="335"/>
      <c r="AD154" s="335"/>
      <c r="AE154" s="335"/>
    </row>
    <row r="155" spans="1:31" ht="15.75" customHeight="1">
      <c r="A155" s="335"/>
      <c r="B155" s="335"/>
      <c r="C155" s="335"/>
      <c r="D155" s="335"/>
      <c r="E155" s="335"/>
      <c r="F155" s="335"/>
      <c r="G155" s="335"/>
      <c r="H155" s="335"/>
      <c r="I155" s="335"/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  <c r="AA155" s="335"/>
      <c r="AB155" s="335"/>
      <c r="AC155" s="335"/>
      <c r="AD155" s="335"/>
      <c r="AE155" s="335"/>
    </row>
    <row r="156" spans="1:31" ht="15.75" customHeight="1">
      <c r="A156" s="335"/>
      <c r="B156" s="335"/>
      <c r="C156" s="335"/>
      <c r="D156" s="335"/>
      <c r="E156" s="335"/>
      <c r="F156" s="335"/>
      <c r="G156" s="335"/>
      <c r="H156" s="335"/>
      <c r="I156" s="335"/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  <c r="AA156" s="335"/>
      <c r="AB156" s="335"/>
      <c r="AC156" s="335"/>
      <c r="AD156" s="335"/>
      <c r="AE156" s="335"/>
    </row>
    <row r="157" spans="1:31" ht="15.75" customHeight="1">
      <c r="A157" s="335"/>
      <c r="B157" s="335"/>
      <c r="C157" s="335"/>
      <c r="D157" s="335"/>
      <c r="E157" s="335"/>
      <c r="F157" s="335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  <c r="AA157" s="335"/>
      <c r="AB157" s="335"/>
      <c r="AC157" s="335"/>
      <c r="AD157" s="335"/>
      <c r="AE157" s="335"/>
    </row>
    <row r="158" spans="1:31" ht="15.75" customHeight="1">
      <c r="A158" s="335"/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335"/>
      <c r="AB158" s="335"/>
      <c r="AC158" s="335"/>
      <c r="AD158" s="335"/>
      <c r="AE158" s="335"/>
    </row>
    <row r="159" spans="1:31" ht="15.75" customHeight="1">
      <c r="A159" s="335"/>
      <c r="B159" s="335"/>
      <c r="C159" s="335"/>
      <c r="D159" s="335"/>
      <c r="E159" s="335"/>
      <c r="F159" s="335"/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  <c r="AA159" s="335"/>
      <c r="AB159" s="335"/>
      <c r="AC159" s="335"/>
      <c r="AD159" s="335"/>
      <c r="AE159" s="335"/>
    </row>
    <row r="160" spans="1:31" ht="15.75" customHeight="1">
      <c r="A160" s="335"/>
      <c r="B160" s="335"/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  <c r="AA160" s="335"/>
      <c r="AB160" s="335"/>
      <c r="AC160" s="335"/>
      <c r="AD160" s="335"/>
      <c r="AE160" s="335"/>
    </row>
    <row r="161" spans="1:31" ht="15.75" customHeight="1">
      <c r="A161" s="335"/>
      <c r="B161" s="335"/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  <c r="AA161" s="335"/>
      <c r="AB161" s="335"/>
      <c r="AC161" s="335"/>
      <c r="AD161" s="335"/>
      <c r="AE161" s="335"/>
    </row>
    <row r="162" spans="1:31" ht="15.75" customHeight="1">
      <c r="A162" s="335"/>
      <c r="B162" s="335"/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  <c r="AA162" s="335"/>
      <c r="AB162" s="335"/>
      <c r="AC162" s="335"/>
      <c r="AD162" s="335"/>
      <c r="AE162" s="335"/>
    </row>
    <row r="163" spans="1:31" ht="15.75" customHeight="1">
      <c r="A163" s="335"/>
      <c r="B163" s="335"/>
      <c r="C163" s="335"/>
      <c r="D163" s="335"/>
      <c r="E163" s="335"/>
      <c r="F163" s="335"/>
      <c r="G163" s="335"/>
      <c r="H163" s="335"/>
      <c r="I163" s="335"/>
      <c r="J163" s="335"/>
      <c r="K163" s="335"/>
      <c r="L163" s="335"/>
      <c r="M163" s="335"/>
      <c r="N163" s="335"/>
      <c r="O163" s="335"/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  <c r="AA163" s="335"/>
      <c r="AB163" s="335"/>
      <c r="AC163" s="335"/>
      <c r="AD163" s="335"/>
      <c r="AE163" s="335"/>
    </row>
    <row r="164" spans="1:31" ht="15.75" customHeight="1">
      <c r="A164" s="335"/>
      <c r="B164" s="335"/>
      <c r="C164" s="335"/>
      <c r="D164" s="335"/>
      <c r="E164" s="335"/>
      <c r="F164" s="335"/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  <c r="AA164" s="335"/>
      <c r="AB164" s="335"/>
      <c r="AC164" s="335"/>
      <c r="AD164" s="335"/>
      <c r="AE164" s="335"/>
    </row>
    <row r="165" spans="1:31" ht="15.75" customHeight="1">
      <c r="A165" s="335"/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335"/>
      <c r="AB165" s="335"/>
      <c r="AC165" s="335"/>
      <c r="AD165" s="335"/>
      <c r="AE165" s="335"/>
    </row>
    <row r="166" spans="1:31" ht="15.75" customHeight="1">
      <c r="A166" s="335"/>
      <c r="B166" s="335"/>
      <c r="C166" s="335"/>
      <c r="D166" s="335"/>
      <c r="E166" s="335"/>
      <c r="F166" s="335"/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  <c r="AA166" s="335"/>
      <c r="AB166" s="335"/>
      <c r="AC166" s="335"/>
      <c r="AD166" s="335"/>
      <c r="AE166" s="335"/>
    </row>
    <row r="167" spans="1:31" ht="15.75" customHeight="1">
      <c r="A167" s="335"/>
      <c r="B167" s="335"/>
      <c r="C167" s="335"/>
      <c r="D167" s="335"/>
      <c r="E167" s="335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  <c r="AA167" s="335"/>
      <c r="AB167" s="335"/>
      <c r="AC167" s="335"/>
      <c r="AD167" s="335"/>
      <c r="AE167" s="335"/>
    </row>
    <row r="168" spans="1:31" ht="15.75" customHeight="1">
      <c r="A168" s="335"/>
      <c r="B168" s="335"/>
      <c r="C168" s="335"/>
      <c r="D168" s="335"/>
      <c r="E168" s="335"/>
      <c r="F168" s="335"/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  <c r="AA168" s="335"/>
      <c r="AB168" s="335"/>
      <c r="AC168" s="335"/>
      <c r="AD168" s="335"/>
      <c r="AE168" s="335"/>
    </row>
    <row r="169" spans="1:31" ht="15.75" customHeight="1">
      <c r="A169" s="335"/>
      <c r="B169" s="335"/>
      <c r="C169" s="335"/>
      <c r="D169" s="335"/>
      <c r="E169" s="335"/>
      <c r="F169" s="335"/>
      <c r="G169" s="335"/>
      <c r="H169" s="335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  <c r="AA169" s="335"/>
      <c r="AB169" s="335"/>
      <c r="AC169" s="335"/>
      <c r="AD169" s="335"/>
      <c r="AE169" s="335"/>
    </row>
    <row r="170" spans="1:31" ht="15.75" customHeight="1">
      <c r="A170" s="335"/>
      <c r="B170" s="335"/>
      <c r="C170" s="335"/>
      <c r="D170" s="335"/>
      <c r="E170" s="335"/>
      <c r="F170" s="335"/>
      <c r="G170" s="335"/>
      <c r="H170" s="335"/>
      <c r="I170" s="335"/>
      <c r="J170" s="335"/>
      <c r="K170" s="335"/>
      <c r="L170" s="335"/>
      <c r="M170" s="335"/>
      <c r="N170" s="335"/>
      <c r="O170" s="335"/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  <c r="AA170" s="335"/>
      <c r="AB170" s="335"/>
      <c r="AC170" s="335"/>
      <c r="AD170" s="335"/>
      <c r="AE170" s="335"/>
    </row>
    <row r="171" spans="1:31" ht="15.75" customHeight="1">
      <c r="A171" s="335"/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335"/>
      <c r="AB171" s="335"/>
      <c r="AC171" s="335"/>
      <c r="AD171" s="335"/>
      <c r="AE171" s="335"/>
    </row>
    <row r="172" spans="1:31" ht="15.75" customHeight="1">
      <c r="A172" s="335"/>
      <c r="B172" s="335"/>
      <c r="C172" s="335"/>
      <c r="D172" s="335"/>
      <c r="E172" s="335"/>
      <c r="F172" s="335"/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  <c r="AA172" s="335"/>
      <c r="AB172" s="335"/>
      <c r="AC172" s="335"/>
      <c r="AD172" s="335"/>
      <c r="AE172" s="335"/>
    </row>
    <row r="173" spans="1:31" ht="15.75" customHeight="1">
      <c r="A173" s="335"/>
      <c r="B173" s="335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  <c r="AA173" s="335"/>
      <c r="AB173" s="335"/>
      <c r="AC173" s="335"/>
      <c r="AD173" s="335"/>
      <c r="AE173" s="335"/>
    </row>
    <row r="174" spans="1:31" ht="15.75" customHeight="1">
      <c r="A174" s="335"/>
      <c r="B174" s="335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  <c r="AA174" s="335"/>
      <c r="AB174" s="335"/>
      <c r="AC174" s="335"/>
      <c r="AD174" s="335"/>
      <c r="AE174" s="335"/>
    </row>
    <row r="175" spans="1:31" ht="15.75" customHeight="1">
      <c r="A175" s="335"/>
      <c r="B175" s="335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  <c r="M175" s="335"/>
      <c r="N175" s="335"/>
      <c r="O175" s="335"/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  <c r="AA175" s="335"/>
      <c r="AB175" s="335"/>
      <c r="AC175" s="335"/>
      <c r="AD175" s="335"/>
      <c r="AE175" s="335"/>
    </row>
    <row r="176" spans="1:31" ht="15.75" customHeight="1">
      <c r="A176" s="335"/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335"/>
      <c r="AB176" s="335"/>
      <c r="AC176" s="335"/>
      <c r="AD176" s="335"/>
      <c r="AE176" s="335"/>
    </row>
    <row r="177" spans="1:31" ht="15.75" customHeight="1">
      <c r="A177" s="335"/>
      <c r="B177" s="335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  <c r="AA177" s="335"/>
      <c r="AB177" s="335"/>
      <c r="AC177" s="335"/>
      <c r="AD177" s="335"/>
      <c r="AE177" s="335"/>
    </row>
    <row r="178" spans="1:31" ht="15.75" customHeight="1">
      <c r="A178" s="335"/>
      <c r="B178" s="335"/>
      <c r="C178" s="335"/>
      <c r="D178" s="335"/>
      <c r="E178" s="335"/>
      <c r="F178" s="335"/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  <c r="AA178" s="335"/>
      <c r="AB178" s="335"/>
      <c r="AC178" s="335"/>
      <c r="AD178" s="335"/>
      <c r="AE178" s="335"/>
    </row>
    <row r="179" spans="1:31" ht="15.75" customHeight="1">
      <c r="A179" s="335"/>
      <c r="B179" s="335"/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5"/>
      <c r="O179" s="335"/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  <c r="AA179" s="335"/>
      <c r="AB179" s="335"/>
      <c r="AC179" s="335"/>
      <c r="AD179" s="335"/>
      <c r="AE179" s="335"/>
    </row>
    <row r="180" spans="1:31" ht="15.75" customHeight="1">
      <c r="A180" s="335"/>
      <c r="B180" s="335"/>
      <c r="C180" s="335"/>
      <c r="D180" s="335"/>
      <c r="E180" s="335"/>
      <c r="F180" s="335"/>
      <c r="G180" s="335"/>
      <c r="H180" s="335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  <c r="AA180" s="335"/>
      <c r="AB180" s="335"/>
      <c r="AC180" s="335"/>
      <c r="AD180" s="335"/>
      <c r="AE180" s="335"/>
    </row>
    <row r="181" spans="1:31" ht="15.75" customHeight="1">
      <c r="A181" s="335"/>
      <c r="B181" s="335"/>
      <c r="C181" s="335"/>
      <c r="D181" s="335"/>
      <c r="E181" s="335"/>
      <c r="F181" s="335"/>
      <c r="G181" s="335"/>
      <c r="H181" s="335"/>
      <c r="I181" s="335"/>
      <c r="J181" s="335"/>
      <c r="K181" s="335"/>
      <c r="L181" s="335"/>
      <c r="M181" s="335"/>
      <c r="N181" s="335"/>
      <c r="O181" s="335"/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  <c r="AA181" s="335"/>
      <c r="AB181" s="335"/>
      <c r="AC181" s="335"/>
      <c r="AD181" s="335"/>
      <c r="AE181" s="335"/>
    </row>
    <row r="182" spans="1:31" ht="15.75" customHeight="1">
      <c r="A182" s="335"/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335"/>
      <c r="AB182" s="335"/>
      <c r="AC182" s="335"/>
      <c r="AD182" s="335"/>
      <c r="AE182" s="335"/>
    </row>
    <row r="183" spans="1:31" ht="15.75" customHeight="1">
      <c r="A183" s="335"/>
      <c r="B183" s="335"/>
      <c r="C183" s="335"/>
      <c r="D183" s="335"/>
      <c r="E183" s="335"/>
      <c r="F183" s="335"/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  <c r="AA183" s="335"/>
      <c r="AB183" s="335"/>
      <c r="AC183" s="335"/>
      <c r="AD183" s="335"/>
      <c r="AE183" s="335"/>
    </row>
    <row r="184" spans="1:31" ht="15.75" customHeight="1">
      <c r="A184" s="335"/>
      <c r="B184" s="335"/>
      <c r="C184" s="335"/>
      <c r="D184" s="335"/>
      <c r="E184" s="335"/>
      <c r="F184" s="335"/>
      <c r="G184" s="335"/>
      <c r="H184" s="335"/>
      <c r="I184" s="335"/>
      <c r="J184" s="335"/>
      <c r="K184" s="335"/>
      <c r="L184" s="335"/>
      <c r="M184" s="335"/>
      <c r="N184" s="335"/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  <c r="AA184" s="335"/>
      <c r="AB184" s="335"/>
      <c r="AC184" s="335"/>
      <c r="AD184" s="335"/>
      <c r="AE184" s="335"/>
    </row>
    <row r="185" spans="1:31" ht="15.75" customHeight="1">
      <c r="A185" s="335"/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5"/>
      <c r="Z185" s="335"/>
      <c r="AA185" s="335"/>
      <c r="AB185" s="335"/>
      <c r="AC185" s="335"/>
      <c r="AD185" s="335"/>
      <c r="AE185" s="335"/>
    </row>
    <row r="186" spans="1:31" ht="15.75" customHeight="1">
      <c r="A186" s="335"/>
      <c r="B186" s="335"/>
      <c r="C186" s="335"/>
      <c r="D186" s="335"/>
      <c r="E186" s="335"/>
      <c r="F186" s="335"/>
      <c r="G186" s="335"/>
      <c r="H186" s="335"/>
      <c r="I186" s="335"/>
      <c r="J186" s="335"/>
      <c r="K186" s="335"/>
      <c r="L186" s="335"/>
      <c r="M186" s="335"/>
      <c r="N186" s="335"/>
      <c r="O186" s="335"/>
      <c r="P186" s="335"/>
      <c r="Q186" s="335"/>
      <c r="R186" s="335"/>
      <c r="S186" s="335"/>
      <c r="T186" s="335"/>
      <c r="U186" s="335"/>
      <c r="V186" s="335"/>
      <c r="W186" s="335"/>
      <c r="X186" s="335"/>
      <c r="Y186" s="335"/>
      <c r="Z186" s="335"/>
      <c r="AA186" s="335"/>
      <c r="AB186" s="335"/>
      <c r="AC186" s="335"/>
      <c r="AD186" s="335"/>
      <c r="AE186" s="335"/>
    </row>
    <row r="187" spans="1:31" ht="15.75" customHeight="1">
      <c r="A187" s="335"/>
      <c r="B187" s="335"/>
      <c r="C187" s="335"/>
      <c r="D187" s="335"/>
      <c r="E187" s="335"/>
      <c r="F187" s="335"/>
      <c r="G187" s="335"/>
      <c r="H187" s="335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5"/>
      <c r="V187" s="335"/>
      <c r="W187" s="335"/>
      <c r="X187" s="335"/>
      <c r="Y187" s="335"/>
      <c r="Z187" s="335"/>
      <c r="AA187" s="335"/>
      <c r="AB187" s="335"/>
      <c r="AC187" s="335"/>
      <c r="AD187" s="335"/>
      <c r="AE187" s="335"/>
    </row>
    <row r="188" spans="1:31" ht="15.75" customHeight="1">
      <c r="A188" s="335"/>
      <c r="B188" s="335"/>
      <c r="C188" s="335"/>
      <c r="D188" s="335"/>
      <c r="E188" s="335"/>
      <c r="F188" s="335"/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  <c r="AA188" s="335"/>
      <c r="AB188" s="335"/>
      <c r="AC188" s="335"/>
      <c r="AD188" s="335"/>
      <c r="AE188" s="335"/>
    </row>
    <row r="189" spans="1:31" ht="15.75" customHeight="1">
      <c r="A189" s="335"/>
      <c r="B189" s="335"/>
      <c r="C189" s="335"/>
      <c r="D189" s="335"/>
      <c r="E189" s="335"/>
      <c r="F189" s="335"/>
      <c r="G189" s="335"/>
      <c r="H189" s="335"/>
      <c r="I189" s="335"/>
      <c r="J189" s="335"/>
      <c r="K189" s="335"/>
      <c r="L189" s="335"/>
      <c r="M189" s="335"/>
      <c r="N189" s="335"/>
      <c r="O189" s="335"/>
      <c r="P189" s="335"/>
      <c r="Q189" s="335"/>
      <c r="R189" s="335"/>
      <c r="S189" s="335"/>
      <c r="T189" s="335"/>
      <c r="U189" s="335"/>
      <c r="V189" s="335"/>
      <c r="W189" s="335"/>
      <c r="X189" s="335"/>
      <c r="Y189" s="335"/>
      <c r="Z189" s="335"/>
      <c r="AA189" s="335"/>
      <c r="AB189" s="335"/>
      <c r="AC189" s="335"/>
      <c r="AD189" s="335"/>
      <c r="AE189" s="335"/>
    </row>
    <row r="190" spans="1:31" ht="15.75" customHeight="1">
      <c r="A190" s="335"/>
      <c r="B190" s="335"/>
      <c r="C190" s="335"/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  <c r="AA190" s="335"/>
      <c r="AB190" s="335"/>
      <c r="AC190" s="335"/>
      <c r="AD190" s="335"/>
      <c r="AE190" s="335"/>
    </row>
    <row r="191" spans="1:31" ht="15.75" customHeight="1">
      <c r="A191" s="335"/>
      <c r="B191" s="335"/>
      <c r="C191" s="335"/>
      <c r="D191" s="335"/>
      <c r="E191" s="335"/>
      <c r="F191" s="335"/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  <c r="AA191" s="335"/>
      <c r="AB191" s="335"/>
      <c r="AC191" s="335"/>
      <c r="AD191" s="335"/>
      <c r="AE191" s="335"/>
    </row>
    <row r="192" spans="1:31" ht="15.75" customHeight="1">
      <c r="A192" s="335"/>
      <c r="B192" s="335"/>
      <c r="C192" s="335"/>
      <c r="D192" s="335"/>
      <c r="E192" s="335"/>
      <c r="F192" s="335"/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5"/>
      <c r="Z192" s="335"/>
      <c r="AA192" s="335"/>
      <c r="AB192" s="335"/>
      <c r="AC192" s="335"/>
      <c r="AD192" s="335"/>
      <c r="AE192" s="335"/>
    </row>
    <row r="193" spans="1:31" ht="15.75" customHeight="1">
      <c r="A193" s="335"/>
      <c r="B193" s="335"/>
      <c r="C193" s="335"/>
      <c r="D193" s="335"/>
      <c r="E193" s="335"/>
      <c r="F193" s="335"/>
      <c r="G193" s="335"/>
      <c r="H193" s="335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5"/>
      <c r="W193" s="335"/>
      <c r="X193" s="335"/>
      <c r="Y193" s="335"/>
      <c r="Z193" s="335"/>
      <c r="AA193" s="335"/>
      <c r="AB193" s="335"/>
      <c r="AC193" s="335"/>
      <c r="AD193" s="335"/>
      <c r="AE193" s="335"/>
    </row>
    <row r="194" spans="1:31" ht="15.75" customHeight="1">
      <c r="A194" s="335"/>
      <c r="B194" s="335"/>
      <c r="C194" s="335"/>
      <c r="D194" s="335"/>
      <c r="E194" s="335"/>
      <c r="F194" s="335"/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  <c r="AA194" s="335"/>
      <c r="AB194" s="335"/>
      <c r="AC194" s="335"/>
      <c r="AD194" s="335"/>
      <c r="AE194" s="335"/>
    </row>
    <row r="195" spans="1:31" ht="15.75" customHeight="1">
      <c r="A195" s="335"/>
      <c r="B195" s="335"/>
      <c r="C195" s="335"/>
      <c r="D195" s="335"/>
      <c r="E195" s="335"/>
      <c r="F195" s="335"/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  <c r="AA195" s="335"/>
      <c r="AB195" s="335"/>
      <c r="AC195" s="335"/>
      <c r="AD195" s="335"/>
      <c r="AE195" s="335"/>
    </row>
    <row r="196" spans="1:31" ht="15.75" customHeight="1">
      <c r="A196" s="335"/>
      <c r="B196" s="335"/>
      <c r="C196" s="335"/>
      <c r="D196" s="335"/>
      <c r="E196" s="335"/>
      <c r="F196" s="335"/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  <c r="Y196" s="335"/>
      <c r="Z196" s="335"/>
      <c r="AA196" s="335"/>
      <c r="AB196" s="335"/>
      <c r="AC196" s="335"/>
      <c r="AD196" s="335"/>
      <c r="AE196" s="335"/>
    </row>
    <row r="197" spans="1:31" ht="15.75" customHeight="1">
      <c r="A197" s="335"/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  <c r="AA197" s="335"/>
      <c r="AB197" s="335"/>
      <c r="AC197" s="335"/>
      <c r="AD197" s="335"/>
      <c r="AE197" s="335"/>
    </row>
    <row r="198" spans="1:31" ht="15.75" customHeight="1">
      <c r="A198" s="335"/>
      <c r="B198" s="335"/>
      <c r="C198" s="335"/>
      <c r="D198" s="335"/>
      <c r="E198" s="335"/>
      <c r="F198" s="335"/>
      <c r="G198" s="335"/>
      <c r="H198" s="335"/>
      <c r="I198" s="335"/>
      <c r="J198" s="335"/>
      <c r="K198" s="335"/>
      <c r="L198" s="335"/>
      <c r="M198" s="335"/>
      <c r="N198" s="335"/>
      <c r="O198" s="335"/>
      <c r="P198" s="335"/>
      <c r="Q198" s="335"/>
      <c r="R198" s="335"/>
      <c r="S198" s="335"/>
      <c r="T198" s="335"/>
      <c r="U198" s="335"/>
      <c r="V198" s="335"/>
      <c r="W198" s="335"/>
      <c r="X198" s="335"/>
      <c r="Y198" s="335"/>
      <c r="Z198" s="335"/>
      <c r="AA198" s="335"/>
      <c r="AB198" s="335"/>
      <c r="AC198" s="335"/>
      <c r="AD198" s="335"/>
      <c r="AE198" s="335"/>
    </row>
    <row r="199" spans="1:31" ht="15.75" customHeight="1">
      <c r="A199" s="335"/>
      <c r="B199" s="335"/>
      <c r="C199" s="335"/>
      <c r="D199" s="335"/>
      <c r="E199" s="335"/>
      <c r="F199" s="335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  <c r="AA199" s="335"/>
      <c r="AB199" s="335"/>
      <c r="AC199" s="335"/>
      <c r="AD199" s="335"/>
      <c r="AE199" s="335"/>
    </row>
    <row r="200" spans="1:31" ht="15.75" customHeight="1">
      <c r="A200" s="335"/>
      <c r="B200" s="335"/>
      <c r="C200" s="335"/>
      <c r="D200" s="335"/>
      <c r="E200" s="335"/>
      <c r="F200" s="335"/>
      <c r="G200" s="335"/>
      <c r="H200" s="335"/>
      <c r="I200" s="335"/>
      <c r="J200" s="335"/>
      <c r="K200" s="335"/>
      <c r="L200" s="335"/>
      <c r="M200" s="335"/>
      <c r="N200" s="335"/>
      <c r="O200" s="335"/>
      <c r="P200" s="335"/>
      <c r="Q200" s="335"/>
      <c r="R200" s="335"/>
      <c r="S200" s="335"/>
      <c r="T200" s="335"/>
      <c r="U200" s="335"/>
      <c r="V200" s="335"/>
      <c r="W200" s="335"/>
      <c r="X200" s="335"/>
      <c r="Y200" s="335"/>
      <c r="Z200" s="335"/>
      <c r="AA200" s="335"/>
      <c r="AB200" s="335"/>
      <c r="AC200" s="335"/>
      <c r="AD200" s="335"/>
      <c r="AE200" s="335"/>
    </row>
    <row r="201" spans="1:31" ht="15.75" customHeight="1">
      <c r="A201" s="335"/>
      <c r="B201" s="335"/>
      <c r="C201" s="335"/>
      <c r="D201" s="335"/>
      <c r="E201" s="335"/>
      <c r="F201" s="335"/>
      <c r="G201" s="335"/>
      <c r="H201" s="335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5"/>
      <c r="W201" s="335"/>
      <c r="X201" s="335"/>
      <c r="Y201" s="335"/>
      <c r="Z201" s="335"/>
      <c r="AA201" s="335"/>
      <c r="AB201" s="335"/>
      <c r="AC201" s="335"/>
      <c r="AD201" s="335"/>
      <c r="AE201" s="335"/>
    </row>
    <row r="202" spans="1:31" ht="15.75" customHeight="1">
      <c r="A202" s="335"/>
      <c r="B202" s="335"/>
      <c r="C202" s="335"/>
      <c r="D202" s="335"/>
      <c r="E202" s="335"/>
      <c r="F202" s="335"/>
      <c r="G202" s="335"/>
      <c r="H202" s="335"/>
      <c r="I202" s="335"/>
      <c r="J202" s="335"/>
      <c r="K202" s="335"/>
      <c r="L202" s="335"/>
      <c r="M202" s="335"/>
      <c r="N202" s="335"/>
      <c r="O202" s="335"/>
      <c r="P202" s="335"/>
      <c r="Q202" s="335"/>
      <c r="R202" s="335"/>
      <c r="S202" s="335"/>
      <c r="T202" s="335"/>
      <c r="U202" s="335"/>
      <c r="V202" s="335"/>
      <c r="W202" s="335"/>
      <c r="X202" s="335"/>
      <c r="Y202" s="335"/>
      <c r="Z202" s="335"/>
      <c r="AA202" s="335"/>
      <c r="AB202" s="335"/>
      <c r="AC202" s="335"/>
      <c r="AD202" s="335"/>
      <c r="AE202" s="335"/>
    </row>
    <row r="203" spans="1:31" ht="15.75" customHeight="1">
      <c r="A203" s="335"/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  <c r="AA203" s="335"/>
      <c r="AB203" s="335"/>
      <c r="AC203" s="335"/>
      <c r="AD203" s="335"/>
      <c r="AE203" s="335"/>
    </row>
    <row r="204" spans="1:31" ht="15.75" customHeight="1">
      <c r="A204" s="335"/>
      <c r="B204" s="335"/>
      <c r="C204" s="335"/>
      <c r="D204" s="335"/>
      <c r="E204" s="335"/>
      <c r="F204" s="335"/>
      <c r="G204" s="335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  <c r="AA204" s="335"/>
      <c r="AB204" s="335"/>
      <c r="AC204" s="335"/>
      <c r="AD204" s="335"/>
      <c r="AE204" s="335"/>
    </row>
    <row r="205" spans="1:31" ht="15.75" customHeight="1">
      <c r="A205" s="335"/>
      <c r="B205" s="335"/>
      <c r="C205" s="335"/>
      <c r="D205" s="335"/>
      <c r="E205" s="335"/>
      <c r="F205" s="335"/>
      <c r="G205" s="335"/>
      <c r="H205" s="335"/>
      <c r="I205" s="335"/>
      <c r="J205" s="335"/>
      <c r="K205" s="335"/>
      <c r="L205" s="335"/>
      <c r="M205" s="335"/>
      <c r="N205" s="335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  <c r="AA205" s="335"/>
      <c r="AB205" s="335"/>
      <c r="AC205" s="335"/>
      <c r="AD205" s="335"/>
      <c r="AE205" s="335"/>
    </row>
    <row r="206" spans="1:31" ht="15.75" customHeight="1">
      <c r="A206" s="335"/>
      <c r="B206" s="335"/>
      <c r="C206" s="335"/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  <c r="AA206" s="335"/>
      <c r="AB206" s="335"/>
      <c r="AC206" s="335"/>
      <c r="AD206" s="335"/>
      <c r="AE206" s="335"/>
    </row>
    <row r="207" spans="1:31" ht="15.75" customHeight="1">
      <c r="A207" s="335"/>
      <c r="B207" s="335"/>
      <c r="C207" s="335"/>
      <c r="D207" s="335"/>
      <c r="E207" s="335"/>
      <c r="F207" s="335"/>
      <c r="G207" s="335"/>
      <c r="H207" s="335"/>
      <c r="I207" s="335"/>
      <c r="J207" s="335"/>
      <c r="K207" s="335"/>
      <c r="L207" s="335"/>
      <c r="M207" s="335"/>
      <c r="N207" s="335"/>
      <c r="O207" s="335"/>
      <c r="P207" s="335"/>
      <c r="Q207" s="335"/>
      <c r="R207" s="335"/>
      <c r="S207" s="335"/>
      <c r="T207" s="335"/>
      <c r="U207" s="335"/>
      <c r="V207" s="335"/>
      <c r="W207" s="335"/>
      <c r="X207" s="335"/>
      <c r="Y207" s="335"/>
      <c r="Z207" s="335"/>
      <c r="AA207" s="335"/>
      <c r="AB207" s="335"/>
      <c r="AC207" s="335"/>
      <c r="AD207" s="335"/>
      <c r="AE207" s="335"/>
    </row>
    <row r="208" spans="1:31" ht="15.75" customHeight="1">
      <c r="A208" s="335"/>
      <c r="B208" s="335"/>
      <c r="C208" s="335"/>
      <c r="D208" s="335"/>
      <c r="E208" s="335"/>
      <c r="F208" s="335"/>
      <c r="G208" s="335"/>
      <c r="H208" s="335"/>
      <c r="I208" s="335"/>
      <c r="J208" s="335"/>
      <c r="K208" s="335"/>
      <c r="L208" s="335"/>
      <c r="M208" s="335"/>
      <c r="N208" s="335"/>
      <c r="O208" s="335"/>
      <c r="P208" s="335"/>
      <c r="Q208" s="335"/>
      <c r="R208" s="335"/>
      <c r="S208" s="335"/>
      <c r="T208" s="335"/>
      <c r="U208" s="335"/>
      <c r="V208" s="335"/>
      <c r="W208" s="335"/>
      <c r="X208" s="335"/>
      <c r="Y208" s="335"/>
      <c r="Z208" s="335"/>
      <c r="AA208" s="335"/>
      <c r="AB208" s="335"/>
      <c r="AC208" s="335"/>
      <c r="AD208" s="335"/>
      <c r="AE208" s="335"/>
    </row>
    <row r="209" spans="1:31" ht="15.75" customHeight="1">
      <c r="A209" s="335"/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  <c r="AA209" s="335"/>
      <c r="AB209" s="335"/>
      <c r="AC209" s="335"/>
      <c r="AD209" s="335"/>
      <c r="AE209" s="335"/>
    </row>
    <row r="210" spans="1:31" ht="15.75" customHeight="1">
      <c r="A210" s="335"/>
      <c r="B210" s="335"/>
      <c r="C210" s="335"/>
      <c r="D210" s="335"/>
      <c r="E210" s="335"/>
      <c r="F210" s="335"/>
      <c r="G210" s="335"/>
      <c r="H210" s="335"/>
      <c r="I210" s="335"/>
      <c r="J210" s="335"/>
      <c r="K210" s="335"/>
      <c r="L210" s="335"/>
      <c r="M210" s="335"/>
      <c r="N210" s="335"/>
      <c r="O210" s="335"/>
      <c r="P210" s="335"/>
      <c r="Q210" s="335"/>
      <c r="R210" s="335"/>
      <c r="S210" s="335"/>
      <c r="T210" s="335"/>
      <c r="U210" s="335"/>
      <c r="V210" s="335"/>
      <c r="W210" s="335"/>
      <c r="X210" s="335"/>
      <c r="Y210" s="335"/>
      <c r="Z210" s="335"/>
      <c r="AA210" s="335"/>
      <c r="AB210" s="335"/>
      <c r="AC210" s="335"/>
      <c r="AD210" s="335"/>
      <c r="AE210" s="335"/>
    </row>
    <row r="211" spans="1:31" ht="15.75" customHeight="1">
      <c r="A211" s="335"/>
      <c r="B211" s="335"/>
      <c r="C211" s="335"/>
      <c r="D211" s="335"/>
      <c r="E211" s="335"/>
      <c r="F211" s="335"/>
      <c r="G211" s="335"/>
      <c r="H211" s="335"/>
      <c r="I211" s="335"/>
      <c r="J211" s="335"/>
      <c r="K211" s="335"/>
      <c r="L211" s="335"/>
      <c r="M211" s="335"/>
      <c r="N211" s="335"/>
      <c r="O211" s="335"/>
      <c r="P211" s="335"/>
      <c r="Q211" s="335"/>
      <c r="R211" s="335"/>
      <c r="S211" s="335"/>
      <c r="T211" s="335"/>
      <c r="U211" s="335"/>
      <c r="V211" s="335"/>
      <c r="W211" s="335"/>
      <c r="X211" s="335"/>
      <c r="Y211" s="335"/>
      <c r="Z211" s="335"/>
      <c r="AA211" s="335"/>
      <c r="AB211" s="335"/>
      <c r="AC211" s="335"/>
      <c r="AD211" s="335"/>
      <c r="AE211" s="335"/>
    </row>
    <row r="212" spans="1:31" ht="15.75" customHeight="1">
      <c r="A212" s="335"/>
      <c r="B212" s="335"/>
      <c r="C212" s="335"/>
      <c r="D212" s="335"/>
      <c r="E212" s="335"/>
      <c r="F212" s="335"/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5"/>
      <c r="Y212" s="335"/>
      <c r="Z212" s="335"/>
      <c r="AA212" s="335"/>
      <c r="AB212" s="335"/>
      <c r="AC212" s="335"/>
      <c r="AD212" s="335"/>
      <c r="AE212" s="335"/>
    </row>
    <row r="213" spans="1:31" ht="15.75" customHeight="1">
      <c r="A213" s="335"/>
      <c r="B213" s="335"/>
      <c r="C213" s="335"/>
      <c r="D213" s="335"/>
      <c r="E213" s="335"/>
      <c r="F213" s="335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  <c r="AA213" s="335"/>
      <c r="AB213" s="335"/>
      <c r="AC213" s="335"/>
      <c r="AD213" s="335"/>
      <c r="AE213" s="335"/>
    </row>
    <row r="214" spans="1:31" ht="15.75" customHeight="1">
      <c r="A214" s="335"/>
      <c r="B214" s="335"/>
      <c r="C214" s="335"/>
      <c r="D214" s="335"/>
      <c r="E214" s="335"/>
      <c r="F214" s="335"/>
      <c r="G214" s="335"/>
      <c r="H214" s="335"/>
      <c r="I214" s="335"/>
      <c r="J214" s="335"/>
      <c r="K214" s="335"/>
      <c r="L214" s="335"/>
      <c r="M214" s="335"/>
      <c r="N214" s="335"/>
      <c r="O214" s="335"/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  <c r="AA214" s="335"/>
      <c r="AB214" s="335"/>
      <c r="AC214" s="335"/>
      <c r="AD214" s="335"/>
      <c r="AE214" s="335"/>
    </row>
    <row r="215" spans="1:31" ht="15.75" customHeight="1">
      <c r="A215" s="335"/>
      <c r="B215" s="335"/>
      <c r="C215" s="335"/>
      <c r="D215" s="335"/>
      <c r="E215" s="335"/>
      <c r="F215" s="335"/>
      <c r="G215" s="335"/>
      <c r="H215" s="335"/>
      <c r="I215" s="335"/>
      <c r="J215" s="335"/>
      <c r="K215" s="335"/>
      <c r="L215" s="335"/>
      <c r="M215" s="335"/>
      <c r="N215" s="335"/>
      <c r="O215" s="335"/>
      <c r="P215" s="335"/>
      <c r="Q215" s="335"/>
      <c r="R215" s="335"/>
      <c r="S215" s="335"/>
      <c r="T215" s="335"/>
      <c r="U215" s="335"/>
      <c r="V215" s="335"/>
      <c r="W215" s="335"/>
      <c r="X215" s="335"/>
      <c r="Y215" s="335"/>
      <c r="Z215" s="335"/>
      <c r="AA215" s="335"/>
      <c r="AB215" s="335"/>
      <c r="AC215" s="335"/>
      <c r="AD215" s="335"/>
      <c r="AE215" s="335"/>
    </row>
    <row r="216" spans="1:31" ht="15.75" customHeight="1">
      <c r="A216" s="335"/>
      <c r="B216" s="335"/>
      <c r="C216" s="335"/>
      <c r="D216" s="335"/>
      <c r="E216" s="335"/>
      <c r="F216" s="335"/>
      <c r="G216" s="335"/>
      <c r="H216" s="335"/>
      <c r="I216" s="335"/>
      <c r="J216" s="335"/>
      <c r="K216" s="335"/>
      <c r="L216" s="335"/>
      <c r="M216" s="335"/>
      <c r="N216" s="335"/>
      <c r="O216" s="335"/>
      <c r="P216" s="335"/>
      <c r="Q216" s="335"/>
      <c r="R216" s="335"/>
      <c r="S216" s="335"/>
      <c r="T216" s="335"/>
      <c r="U216" s="335"/>
      <c r="V216" s="335"/>
      <c r="W216" s="335"/>
      <c r="X216" s="335"/>
      <c r="Y216" s="335"/>
      <c r="Z216" s="335"/>
      <c r="AA216" s="335"/>
      <c r="AB216" s="335"/>
      <c r="AC216" s="335"/>
      <c r="AD216" s="335"/>
      <c r="AE216" s="335"/>
    </row>
    <row r="217" spans="1:31" ht="15.75" customHeight="1">
      <c r="A217" s="335"/>
      <c r="B217" s="335"/>
      <c r="C217" s="335"/>
      <c r="D217" s="335"/>
      <c r="E217" s="335"/>
      <c r="F217" s="335"/>
      <c r="G217" s="335"/>
      <c r="H217" s="335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5"/>
      <c r="W217" s="335"/>
      <c r="X217" s="335"/>
      <c r="Y217" s="335"/>
      <c r="Z217" s="335"/>
      <c r="AA217" s="335"/>
      <c r="AB217" s="335"/>
      <c r="AC217" s="335"/>
      <c r="AD217" s="335"/>
      <c r="AE217" s="335"/>
    </row>
    <row r="218" spans="1:31" ht="15.75" customHeight="1">
      <c r="A218" s="335"/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  <c r="AA218" s="335"/>
      <c r="AB218" s="335"/>
      <c r="AC218" s="335"/>
      <c r="AD218" s="335"/>
      <c r="AE218" s="335"/>
    </row>
    <row r="219" spans="1:31" ht="15.75" customHeight="1">
      <c r="A219" s="335"/>
      <c r="B219" s="335"/>
      <c r="C219" s="335"/>
      <c r="D219" s="335"/>
      <c r="E219" s="335"/>
      <c r="F219" s="335"/>
      <c r="G219" s="335"/>
      <c r="H219" s="335"/>
      <c r="I219" s="335"/>
      <c r="J219" s="335"/>
      <c r="K219" s="335"/>
      <c r="L219" s="335"/>
      <c r="M219" s="335"/>
      <c r="N219" s="335"/>
      <c r="O219" s="335"/>
      <c r="P219" s="335"/>
      <c r="Q219" s="335"/>
      <c r="R219" s="335"/>
      <c r="S219" s="335"/>
      <c r="T219" s="335"/>
      <c r="U219" s="335"/>
      <c r="V219" s="335"/>
      <c r="W219" s="335"/>
      <c r="X219" s="335"/>
      <c r="Y219" s="335"/>
      <c r="Z219" s="335"/>
      <c r="AA219" s="335"/>
      <c r="AB219" s="335"/>
      <c r="AC219" s="335"/>
      <c r="AD219" s="335"/>
      <c r="AE219" s="335"/>
    </row>
    <row r="220" spans="1:31" ht="15.75" customHeight="1">
      <c r="A220" s="335"/>
      <c r="B220" s="335"/>
      <c r="C220" s="335"/>
      <c r="D220" s="335"/>
      <c r="E220" s="335"/>
      <c r="F220" s="335"/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5"/>
      <c r="Z220" s="335"/>
      <c r="AA220" s="335"/>
      <c r="AB220" s="335"/>
      <c r="AC220" s="335"/>
      <c r="AD220" s="335"/>
      <c r="AE220" s="335"/>
    </row>
    <row r="221" spans="1:31" ht="15.75" customHeight="1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  <c r="U221" s="335"/>
      <c r="V221" s="335"/>
      <c r="W221" s="335"/>
      <c r="X221" s="335"/>
      <c r="Y221" s="335"/>
      <c r="Z221" s="335"/>
      <c r="AA221" s="335"/>
      <c r="AB221" s="335"/>
      <c r="AC221" s="335"/>
      <c r="AD221" s="335"/>
      <c r="AE221" s="335"/>
    </row>
    <row r="222" spans="1:31" ht="15.75" customHeight="1">
      <c r="A222" s="335"/>
      <c r="B222" s="335"/>
      <c r="C222" s="335"/>
      <c r="D222" s="335"/>
      <c r="E222" s="335"/>
      <c r="F222" s="335"/>
      <c r="G222" s="335"/>
      <c r="H222" s="335"/>
      <c r="I222" s="335"/>
      <c r="J222" s="335"/>
      <c r="K222" s="335"/>
      <c r="L222" s="335"/>
      <c r="M222" s="335"/>
      <c r="N222" s="335"/>
      <c r="O222" s="335"/>
      <c r="P222" s="335"/>
      <c r="Q222" s="335"/>
      <c r="R222" s="335"/>
      <c r="S222" s="335"/>
      <c r="T222" s="335"/>
      <c r="U222" s="335"/>
      <c r="V222" s="335"/>
      <c r="W222" s="335"/>
      <c r="X222" s="335"/>
      <c r="Y222" s="335"/>
      <c r="Z222" s="335"/>
      <c r="AA222" s="335"/>
      <c r="AB222" s="335"/>
      <c r="AC222" s="335"/>
      <c r="AD222" s="335"/>
      <c r="AE222" s="335"/>
    </row>
    <row r="223" spans="1:31" ht="15.75" customHeight="1">
      <c r="A223" s="335"/>
      <c r="B223" s="335"/>
      <c r="C223" s="335"/>
      <c r="D223" s="335"/>
      <c r="E223" s="335"/>
      <c r="F223" s="335"/>
      <c r="G223" s="335"/>
      <c r="H223" s="335"/>
      <c r="I223" s="335"/>
      <c r="J223" s="335"/>
      <c r="K223" s="335"/>
      <c r="L223" s="335"/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  <c r="AA223" s="335"/>
      <c r="AB223" s="335"/>
      <c r="AC223" s="335"/>
      <c r="AD223" s="335"/>
      <c r="AE223" s="335"/>
    </row>
    <row r="224" spans="1:31" ht="15.75" customHeight="1">
      <c r="A224" s="335"/>
      <c r="B224" s="335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  <c r="AA224" s="335"/>
      <c r="AB224" s="335"/>
      <c r="AC224" s="335"/>
      <c r="AD224" s="335"/>
      <c r="AE224" s="335"/>
    </row>
    <row r="225" spans="1:31" ht="15.75" customHeight="1">
      <c r="A225" s="335"/>
      <c r="B225" s="335"/>
      <c r="C225" s="335"/>
      <c r="D225" s="335"/>
      <c r="E225" s="335"/>
      <c r="F225" s="335"/>
      <c r="G225" s="335"/>
      <c r="H225" s="335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5"/>
      <c r="W225" s="335"/>
      <c r="X225" s="335"/>
      <c r="Y225" s="335"/>
      <c r="Z225" s="335"/>
      <c r="AA225" s="335"/>
      <c r="AB225" s="335"/>
      <c r="AC225" s="335"/>
      <c r="AD225" s="335"/>
      <c r="AE225" s="335"/>
    </row>
    <row r="226" spans="1:31" ht="15.75" customHeight="1">
      <c r="A226" s="335"/>
      <c r="B226" s="335"/>
      <c r="C226" s="335"/>
      <c r="D226" s="335"/>
      <c r="E226" s="335"/>
      <c r="F226" s="335"/>
      <c r="G226" s="335"/>
      <c r="H226" s="335"/>
      <c r="I226" s="335"/>
      <c r="J226" s="335"/>
      <c r="K226" s="335"/>
      <c r="L226" s="335"/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  <c r="AA226" s="335"/>
      <c r="AB226" s="335"/>
      <c r="AC226" s="335"/>
      <c r="AD226" s="335"/>
      <c r="AE226" s="335"/>
    </row>
    <row r="227" spans="1:31" ht="15.75" customHeight="1">
      <c r="A227" s="335"/>
      <c r="B227" s="335"/>
      <c r="C227" s="335"/>
      <c r="D227" s="335"/>
      <c r="E227" s="335"/>
      <c r="F227" s="335"/>
      <c r="G227" s="335"/>
      <c r="H227" s="335"/>
      <c r="I227" s="335"/>
      <c r="J227" s="335"/>
      <c r="K227" s="335"/>
      <c r="L227" s="335"/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  <c r="AA227" s="335"/>
      <c r="AB227" s="335"/>
      <c r="AC227" s="335"/>
      <c r="AD227" s="335"/>
      <c r="AE227" s="335"/>
    </row>
    <row r="228" spans="1:31" ht="15.75" customHeight="1">
      <c r="A228" s="335"/>
      <c r="B228" s="335"/>
      <c r="C228" s="335"/>
      <c r="D228" s="335"/>
      <c r="E228" s="335"/>
      <c r="F228" s="335"/>
      <c r="G228" s="335"/>
      <c r="H228" s="335"/>
      <c r="I228" s="335"/>
      <c r="J228" s="335"/>
      <c r="K228" s="335"/>
      <c r="L228" s="335"/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  <c r="AA228" s="335"/>
      <c r="AB228" s="335"/>
      <c r="AC228" s="335"/>
      <c r="AD228" s="335"/>
      <c r="AE228" s="335"/>
    </row>
    <row r="229" spans="1:31" ht="15.75" customHeight="1">
      <c r="A229" s="335"/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  <c r="AA229" s="335"/>
      <c r="AB229" s="335"/>
      <c r="AC229" s="335"/>
      <c r="AD229" s="335"/>
      <c r="AE229" s="335"/>
    </row>
    <row r="230" spans="1:31" ht="15.75" customHeight="1">
      <c r="A230" s="335"/>
      <c r="B230" s="335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335"/>
      <c r="N230" s="335"/>
      <c r="O230" s="335"/>
      <c r="P230" s="335"/>
      <c r="Q230" s="335"/>
      <c r="R230" s="335"/>
      <c r="S230" s="335"/>
      <c r="T230" s="335"/>
      <c r="U230" s="335"/>
      <c r="V230" s="335"/>
      <c r="W230" s="335"/>
      <c r="X230" s="335"/>
      <c r="Y230" s="335"/>
      <c r="Z230" s="335"/>
      <c r="AA230" s="335"/>
      <c r="AB230" s="335"/>
      <c r="AC230" s="335"/>
      <c r="AD230" s="335"/>
      <c r="AE230" s="335"/>
    </row>
    <row r="231" spans="1:31" ht="15.75" customHeight="1">
      <c r="A231" s="335"/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  <c r="T231" s="335"/>
      <c r="U231" s="335"/>
      <c r="V231" s="335"/>
      <c r="W231" s="335"/>
      <c r="X231" s="335"/>
      <c r="Y231" s="335"/>
      <c r="Z231" s="335"/>
      <c r="AA231" s="335"/>
      <c r="AB231" s="335"/>
      <c r="AC231" s="335"/>
      <c r="AD231" s="335"/>
      <c r="AE231" s="335"/>
    </row>
    <row r="232" spans="1:31" ht="15.75" customHeight="1">
      <c r="A232" s="335"/>
      <c r="B232" s="335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  <c r="AA232" s="335"/>
      <c r="AB232" s="335"/>
      <c r="AC232" s="335"/>
      <c r="AD232" s="335"/>
      <c r="AE232" s="335"/>
    </row>
    <row r="233" spans="1:31" ht="15.75" customHeight="1">
      <c r="A233" s="335"/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5"/>
      <c r="W233" s="335"/>
      <c r="X233" s="335"/>
      <c r="Y233" s="335"/>
      <c r="Z233" s="335"/>
      <c r="AA233" s="335"/>
      <c r="AB233" s="335"/>
      <c r="AC233" s="335"/>
      <c r="AD233" s="335"/>
      <c r="AE233" s="335"/>
    </row>
    <row r="234" spans="1:31" ht="15.75" customHeight="1">
      <c r="A234" s="335"/>
      <c r="B234" s="335"/>
      <c r="C234" s="335"/>
      <c r="D234" s="335"/>
      <c r="E234" s="335"/>
      <c r="F234" s="335"/>
      <c r="G234" s="335"/>
      <c r="H234" s="335"/>
      <c r="I234" s="335"/>
      <c r="J234" s="335"/>
      <c r="K234" s="335"/>
      <c r="L234" s="335"/>
      <c r="M234" s="335"/>
      <c r="N234" s="335"/>
      <c r="O234" s="335"/>
      <c r="P234" s="335"/>
      <c r="Q234" s="335"/>
      <c r="R234" s="335"/>
      <c r="S234" s="335"/>
      <c r="T234" s="335"/>
      <c r="U234" s="335"/>
      <c r="V234" s="335"/>
      <c r="W234" s="335"/>
      <c r="X234" s="335"/>
      <c r="Y234" s="335"/>
      <c r="Z234" s="335"/>
      <c r="AA234" s="335"/>
      <c r="AB234" s="335"/>
      <c r="AC234" s="335"/>
      <c r="AD234" s="335"/>
      <c r="AE234" s="335"/>
    </row>
    <row r="235" spans="1:31" ht="15.75" customHeight="1">
      <c r="A235" s="335"/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  <c r="AA235" s="335"/>
      <c r="AB235" s="335"/>
      <c r="AC235" s="335"/>
      <c r="AD235" s="335"/>
      <c r="AE235" s="335"/>
    </row>
    <row r="236" spans="1:31" ht="15.75" customHeight="1">
      <c r="A236" s="335"/>
      <c r="B236" s="335"/>
      <c r="C236" s="335"/>
      <c r="D236" s="335"/>
      <c r="E236" s="335"/>
      <c r="F236" s="335"/>
      <c r="G236" s="335"/>
      <c r="H236" s="335"/>
      <c r="I236" s="335"/>
      <c r="J236" s="335"/>
      <c r="K236" s="335"/>
      <c r="L236" s="335"/>
      <c r="M236" s="335"/>
      <c r="N236" s="335"/>
      <c r="O236" s="335"/>
      <c r="P236" s="335"/>
      <c r="Q236" s="335"/>
      <c r="R236" s="335"/>
      <c r="S236" s="335"/>
      <c r="T236" s="335"/>
      <c r="U236" s="335"/>
      <c r="V236" s="335"/>
      <c r="W236" s="335"/>
      <c r="X236" s="335"/>
      <c r="Y236" s="335"/>
      <c r="Z236" s="335"/>
      <c r="AA236" s="335"/>
      <c r="AB236" s="335"/>
      <c r="AC236" s="335"/>
      <c r="AD236" s="335"/>
      <c r="AE236" s="335"/>
    </row>
    <row r="237" spans="1:31" ht="15.75" customHeight="1">
      <c r="A237" s="335"/>
      <c r="B237" s="335"/>
      <c r="C237" s="335"/>
      <c r="D237" s="335"/>
      <c r="E237" s="335"/>
      <c r="F237" s="335"/>
      <c r="G237" s="335"/>
      <c r="H237" s="335"/>
      <c r="I237" s="335"/>
      <c r="J237" s="335"/>
      <c r="K237" s="335"/>
      <c r="L237" s="335"/>
      <c r="M237" s="335"/>
      <c r="N237" s="335"/>
      <c r="O237" s="335"/>
      <c r="P237" s="335"/>
      <c r="Q237" s="335"/>
      <c r="R237" s="335"/>
      <c r="S237" s="335"/>
      <c r="T237" s="335"/>
      <c r="U237" s="335"/>
      <c r="V237" s="335"/>
      <c r="W237" s="335"/>
      <c r="X237" s="335"/>
      <c r="Y237" s="335"/>
      <c r="Z237" s="335"/>
      <c r="AA237" s="335"/>
      <c r="AB237" s="335"/>
      <c r="AC237" s="335"/>
      <c r="AD237" s="335"/>
      <c r="AE237" s="335"/>
    </row>
    <row r="238" spans="1:31" ht="15.75" customHeight="1">
      <c r="A238" s="335"/>
      <c r="B238" s="335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5"/>
      <c r="T238" s="335"/>
      <c r="U238" s="335"/>
      <c r="V238" s="335"/>
      <c r="W238" s="335"/>
      <c r="X238" s="335"/>
      <c r="Y238" s="335"/>
      <c r="Z238" s="335"/>
      <c r="AA238" s="335"/>
      <c r="AB238" s="335"/>
      <c r="AC238" s="335"/>
      <c r="AD238" s="335"/>
      <c r="AE238" s="335"/>
    </row>
    <row r="239" spans="1:31" ht="15.75" customHeight="1">
      <c r="A239" s="335"/>
      <c r="B239" s="335"/>
      <c r="C239" s="335"/>
      <c r="D239" s="335"/>
      <c r="E239" s="335"/>
      <c r="F239" s="335"/>
      <c r="G239" s="335"/>
      <c r="H239" s="335"/>
      <c r="I239" s="335"/>
      <c r="J239" s="335"/>
      <c r="K239" s="335"/>
      <c r="L239" s="335"/>
      <c r="M239" s="335"/>
      <c r="N239" s="335"/>
      <c r="O239" s="335"/>
      <c r="P239" s="335"/>
      <c r="Q239" s="335"/>
      <c r="R239" s="335"/>
      <c r="S239" s="335"/>
      <c r="T239" s="335"/>
      <c r="U239" s="335"/>
      <c r="V239" s="335"/>
      <c r="W239" s="335"/>
      <c r="X239" s="335"/>
      <c r="Y239" s="335"/>
      <c r="Z239" s="335"/>
      <c r="AA239" s="335"/>
      <c r="AB239" s="335"/>
      <c r="AC239" s="335"/>
      <c r="AD239" s="335"/>
      <c r="AE239" s="335"/>
    </row>
    <row r="240" spans="1:31" ht="15.75" customHeight="1">
      <c r="A240" s="335"/>
      <c r="B240" s="335"/>
      <c r="C240" s="335"/>
      <c r="D240" s="335"/>
      <c r="E240" s="335"/>
      <c r="F240" s="335"/>
      <c r="G240" s="335"/>
      <c r="H240" s="335"/>
      <c r="I240" s="335"/>
      <c r="J240" s="335"/>
      <c r="K240" s="335"/>
      <c r="L240" s="335"/>
      <c r="M240" s="335"/>
      <c r="N240" s="335"/>
      <c r="O240" s="335"/>
      <c r="P240" s="335"/>
      <c r="Q240" s="335"/>
      <c r="R240" s="335"/>
      <c r="S240" s="335"/>
      <c r="T240" s="335"/>
      <c r="U240" s="335"/>
      <c r="V240" s="335"/>
      <c r="W240" s="335"/>
      <c r="X240" s="335"/>
      <c r="Y240" s="335"/>
      <c r="Z240" s="335"/>
      <c r="AA240" s="335"/>
      <c r="AB240" s="335"/>
      <c r="AC240" s="335"/>
      <c r="AD240" s="335"/>
      <c r="AE240" s="335"/>
    </row>
    <row r="241" spans="1:31" ht="15.75" customHeight="1">
      <c r="A241" s="335"/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  <c r="AA241" s="335"/>
      <c r="AB241" s="335"/>
      <c r="AC241" s="335"/>
      <c r="AD241" s="335"/>
      <c r="AE241" s="335"/>
    </row>
    <row r="242" spans="1:31" ht="15.75" customHeight="1">
      <c r="A242" s="335"/>
      <c r="B242" s="335"/>
      <c r="C242" s="335"/>
      <c r="D242" s="335"/>
      <c r="E242" s="335"/>
      <c r="F242" s="335"/>
      <c r="G242" s="335"/>
      <c r="H242" s="335"/>
      <c r="I242" s="335"/>
      <c r="J242" s="335"/>
      <c r="K242" s="335"/>
      <c r="L242" s="335"/>
      <c r="M242" s="335"/>
      <c r="N242" s="335"/>
      <c r="O242" s="335"/>
      <c r="P242" s="335"/>
      <c r="Q242" s="335"/>
      <c r="R242" s="335"/>
      <c r="S242" s="335"/>
      <c r="T242" s="335"/>
      <c r="U242" s="335"/>
      <c r="V242" s="335"/>
      <c r="W242" s="335"/>
      <c r="X242" s="335"/>
      <c r="Y242" s="335"/>
      <c r="Z242" s="335"/>
      <c r="AA242" s="335"/>
      <c r="AB242" s="335"/>
      <c r="AC242" s="335"/>
      <c r="AD242" s="335"/>
      <c r="AE242" s="335"/>
    </row>
    <row r="243" spans="1:31" ht="15.75" customHeight="1">
      <c r="A243" s="335"/>
      <c r="B243" s="335"/>
      <c r="C243" s="335"/>
      <c r="D243" s="335"/>
      <c r="E243" s="335"/>
      <c r="F243" s="335"/>
      <c r="G243" s="335"/>
      <c r="H243" s="335"/>
      <c r="I243" s="335"/>
      <c r="J243" s="335"/>
      <c r="K243" s="335"/>
      <c r="L243" s="335"/>
      <c r="M243" s="335"/>
      <c r="N243" s="335"/>
      <c r="O243" s="335"/>
      <c r="P243" s="335"/>
      <c r="Q243" s="335"/>
      <c r="R243" s="335"/>
      <c r="S243" s="335"/>
      <c r="T243" s="335"/>
      <c r="U243" s="335"/>
      <c r="V243" s="335"/>
      <c r="W243" s="335"/>
      <c r="X243" s="335"/>
      <c r="Y243" s="335"/>
      <c r="Z243" s="335"/>
      <c r="AA243" s="335"/>
      <c r="AB243" s="335"/>
      <c r="AC243" s="335"/>
      <c r="AD243" s="335"/>
      <c r="AE243" s="335"/>
    </row>
    <row r="244" spans="1:31" ht="15.75" customHeight="1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335"/>
      <c r="S244" s="335"/>
      <c r="T244" s="335"/>
      <c r="U244" s="335"/>
      <c r="V244" s="335"/>
      <c r="W244" s="335"/>
      <c r="X244" s="335"/>
      <c r="Y244" s="335"/>
      <c r="Z244" s="335"/>
      <c r="AA244" s="335"/>
      <c r="AB244" s="335"/>
      <c r="AC244" s="335"/>
      <c r="AD244" s="335"/>
      <c r="AE244" s="335"/>
    </row>
    <row r="245" spans="1:31" ht="15.75" customHeight="1">
      <c r="A245" s="335"/>
      <c r="B245" s="335"/>
      <c r="C245" s="335"/>
      <c r="D245" s="335"/>
      <c r="E245" s="335"/>
      <c r="F245" s="335"/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335"/>
      <c r="S245" s="335"/>
      <c r="T245" s="335"/>
      <c r="U245" s="335"/>
      <c r="V245" s="335"/>
      <c r="W245" s="335"/>
      <c r="X245" s="335"/>
      <c r="Y245" s="335"/>
      <c r="Z245" s="335"/>
      <c r="AA245" s="335"/>
      <c r="AB245" s="335"/>
      <c r="AC245" s="335"/>
      <c r="AD245" s="335"/>
      <c r="AE245" s="335"/>
    </row>
    <row r="246" spans="1:31" ht="15.75" customHeight="1">
      <c r="A246" s="335"/>
      <c r="B246" s="335"/>
      <c r="C246" s="335"/>
      <c r="D246" s="335"/>
      <c r="E246" s="335"/>
      <c r="F246" s="335"/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335"/>
      <c r="S246" s="335"/>
      <c r="T246" s="335"/>
      <c r="U246" s="335"/>
      <c r="V246" s="335"/>
      <c r="W246" s="335"/>
      <c r="X246" s="335"/>
      <c r="Y246" s="335"/>
      <c r="Z246" s="335"/>
      <c r="AA246" s="335"/>
      <c r="AB246" s="335"/>
      <c r="AC246" s="335"/>
      <c r="AD246" s="335"/>
      <c r="AE246" s="335"/>
    </row>
    <row r="247" spans="1:31" ht="15.75" customHeight="1">
      <c r="A247" s="335"/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335"/>
      <c r="AB247" s="335"/>
      <c r="AC247" s="335"/>
      <c r="AD247" s="335"/>
      <c r="AE247" s="335"/>
    </row>
    <row r="248" spans="1:31" ht="15.75" customHeight="1">
      <c r="A248" s="335"/>
      <c r="B248" s="335"/>
      <c r="C248" s="335"/>
      <c r="D248" s="335"/>
      <c r="E248" s="335"/>
      <c r="F248" s="335"/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335"/>
      <c r="S248" s="335"/>
      <c r="T248" s="335"/>
      <c r="U248" s="335"/>
      <c r="V248" s="335"/>
      <c r="W248" s="335"/>
      <c r="X248" s="335"/>
      <c r="Y248" s="335"/>
      <c r="Z248" s="335"/>
      <c r="AA248" s="335"/>
      <c r="AB248" s="335"/>
      <c r="AC248" s="335"/>
      <c r="AD248" s="335"/>
      <c r="AE248" s="335"/>
    </row>
    <row r="249" spans="1:31" ht="15.75" customHeight="1">
      <c r="A249" s="335"/>
      <c r="B249" s="335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  <c r="AA249" s="335"/>
      <c r="AB249" s="335"/>
      <c r="AC249" s="335"/>
      <c r="AD249" s="335"/>
      <c r="AE249" s="335"/>
    </row>
    <row r="250" spans="1:31" ht="15.75" customHeight="1">
      <c r="A250" s="335"/>
      <c r="B250" s="335"/>
      <c r="C250" s="335"/>
      <c r="D250" s="335"/>
      <c r="E250" s="335"/>
      <c r="F250" s="335"/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335"/>
      <c r="S250" s="335"/>
      <c r="T250" s="335"/>
      <c r="U250" s="335"/>
      <c r="V250" s="335"/>
      <c r="W250" s="335"/>
      <c r="X250" s="335"/>
      <c r="Y250" s="335"/>
      <c r="Z250" s="335"/>
      <c r="AA250" s="335"/>
      <c r="AB250" s="335"/>
      <c r="AC250" s="335"/>
      <c r="AD250" s="335"/>
      <c r="AE250" s="335"/>
    </row>
    <row r="251" spans="1:31" ht="15.75" customHeight="1"/>
    <row r="252" spans="1:31" ht="15.75" customHeight="1"/>
    <row r="253" spans="1:31" ht="15.75" customHeight="1"/>
    <row r="254" spans="1:31" ht="15.75" customHeight="1"/>
    <row r="255" spans="1:31" ht="15.75" customHeight="1"/>
    <row r="256" spans="1:3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D10:E10"/>
    <mergeCell ref="B11:E12"/>
    <mergeCell ref="F11:H12"/>
    <mergeCell ref="N11:P12"/>
    <mergeCell ref="R11:V11"/>
    <mergeCell ref="D6:E6"/>
    <mergeCell ref="F6:H6"/>
    <mergeCell ref="J6:K6"/>
    <mergeCell ref="L6:M6"/>
    <mergeCell ref="B9:C9"/>
    <mergeCell ref="N8:P8"/>
    <mergeCell ref="D9:E9"/>
    <mergeCell ref="F9:H9"/>
    <mergeCell ref="J9:K9"/>
    <mergeCell ref="L9:M9"/>
    <mergeCell ref="B3:H3"/>
    <mergeCell ref="J3:P3"/>
    <mergeCell ref="D4:E5"/>
    <mergeCell ref="F4:H5"/>
    <mergeCell ref="J4:K5"/>
    <mergeCell ref="L4:M5"/>
    <mergeCell ref="N4:P5"/>
    <mergeCell ref="B4:C5"/>
    <mergeCell ref="R8:V8"/>
    <mergeCell ref="R6:V6"/>
    <mergeCell ref="B6:C6"/>
    <mergeCell ref="D7:E7"/>
    <mergeCell ref="F7:H7"/>
    <mergeCell ref="J7:K7"/>
    <mergeCell ref="L7:M7"/>
    <mergeCell ref="N7:P7"/>
    <mergeCell ref="R7:V7"/>
    <mergeCell ref="B8:C8"/>
    <mergeCell ref="F8:H8"/>
    <mergeCell ref="J8:K8"/>
    <mergeCell ref="L8:M8"/>
    <mergeCell ref="D8:E8"/>
    <mergeCell ref="N6:P6"/>
    <mergeCell ref="B7:C7"/>
    <mergeCell ref="A24:A25"/>
    <mergeCell ref="B24:U24"/>
    <mergeCell ref="V24:V25"/>
    <mergeCell ref="N9:P9"/>
    <mergeCell ref="R9:V9"/>
    <mergeCell ref="J11:M12"/>
    <mergeCell ref="J13:M14"/>
    <mergeCell ref="N13:P14"/>
    <mergeCell ref="N10:P10"/>
    <mergeCell ref="R10:V10"/>
    <mergeCell ref="B13:E13"/>
    <mergeCell ref="F13:H13"/>
    <mergeCell ref="B10:C10"/>
    <mergeCell ref="F10:H10"/>
    <mergeCell ref="J10:K10"/>
    <mergeCell ref="L10:M10"/>
    <mergeCell ref="W24:W25"/>
    <mergeCell ref="B14:E14"/>
    <mergeCell ref="F14:H14"/>
    <mergeCell ref="B15:E16"/>
    <mergeCell ref="F15:H16"/>
    <mergeCell ref="O18:Z18"/>
    <mergeCell ref="K19:L19"/>
    <mergeCell ref="K20:L20"/>
    <mergeCell ref="N19:P19"/>
    <mergeCell ref="N20:P20"/>
  </mergeCells>
  <dataValidations count="1">
    <dataValidation type="list" allowBlank="1" showErrorMessage="1" sqref="B6:B10 J6:J10 B20 E20 H20" xr:uid="{00000000-0002-0000-0E00-000000000000}">
      <formula1>$A$26:$A$50</formula1>
    </dataValidation>
  </dataValidations>
  <pageMargins left="0.25" right="0.25" top="0.75" bottom="0.75" header="0" footer="0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topLeftCell="A20" zoomScale="70" zoomScaleNormal="70" workbookViewId="0">
      <selection activeCell="AB47" sqref="AB47"/>
    </sheetView>
  </sheetViews>
  <sheetFormatPr defaultRowHeight="1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E1017"/>
  <sheetViews>
    <sheetView workbookViewId="0">
      <selection sqref="A1:D1"/>
    </sheetView>
  </sheetViews>
  <sheetFormatPr defaultColWidth="14.42578125" defaultRowHeight="15" customHeight="1"/>
  <cols>
    <col min="1" max="1" width="7.140625" style="257" customWidth="1"/>
    <col min="2" max="2" width="73.140625" style="257" customWidth="1"/>
    <col min="3" max="3" width="11.85546875" style="257" customWidth="1"/>
    <col min="4" max="4" width="26.28515625" style="257" customWidth="1"/>
    <col min="5" max="5" width="18" style="257" customWidth="1"/>
    <col min="6" max="16384" width="14.42578125" style="257"/>
  </cols>
  <sheetData>
    <row r="1" spans="1:5" ht="16.5" thickBot="1">
      <c r="A1" s="739" t="s">
        <v>427</v>
      </c>
      <c r="B1" s="740"/>
      <c r="C1" s="740"/>
      <c r="D1" s="740"/>
      <c r="E1" s="402"/>
    </row>
    <row r="2" spans="1:5" ht="17.25" thickTop="1" thickBot="1">
      <c r="A2" s="428" t="s">
        <v>81</v>
      </c>
      <c r="B2" s="427" t="s">
        <v>426</v>
      </c>
      <c r="C2" s="428" t="s">
        <v>425</v>
      </c>
      <c r="D2" s="427" t="s">
        <v>424</v>
      </c>
      <c r="E2" s="402"/>
    </row>
    <row r="3" spans="1:5" ht="17.25" thickTop="1" thickBot="1">
      <c r="A3" s="412"/>
      <c r="B3" s="410" t="s">
        <v>423</v>
      </c>
      <c r="C3" s="410"/>
      <c r="D3" s="410"/>
      <c r="E3" s="402"/>
    </row>
    <row r="4" spans="1:5" ht="16.5" thickTop="1">
      <c r="A4" s="419">
        <v>44562</v>
      </c>
      <c r="B4" s="421" t="s">
        <v>422</v>
      </c>
      <c r="C4" s="414"/>
      <c r="D4" s="417"/>
      <c r="E4" s="402"/>
    </row>
    <row r="5" spans="1:5" ht="15.75">
      <c r="A5" s="419">
        <v>44593</v>
      </c>
      <c r="B5" s="423" t="s">
        <v>421</v>
      </c>
      <c r="C5" s="414"/>
      <c r="D5" s="417"/>
      <c r="E5" s="402"/>
    </row>
    <row r="6" spans="1:5" ht="15.75">
      <c r="A6" s="419">
        <v>44621</v>
      </c>
      <c r="B6" s="423" t="s">
        <v>420</v>
      </c>
      <c r="C6" s="414"/>
      <c r="D6" s="417"/>
      <c r="E6" s="402"/>
    </row>
    <row r="7" spans="1:5" ht="15.75">
      <c r="A7" s="419">
        <v>44652</v>
      </c>
      <c r="B7" s="423" t="s">
        <v>419</v>
      </c>
      <c r="C7" s="414"/>
      <c r="D7" s="417"/>
      <c r="E7" s="402"/>
    </row>
    <row r="8" spans="1:5" ht="15.75">
      <c r="A8" s="419">
        <v>44682</v>
      </c>
      <c r="B8" s="423" t="s">
        <v>418</v>
      </c>
      <c r="C8" s="414"/>
      <c r="D8" s="417"/>
      <c r="E8" s="402"/>
    </row>
    <row r="9" spans="1:5" ht="15.75">
      <c r="A9" s="419">
        <v>44713</v>
      </c>
      <c r="B9" s="423" t="s">
        <v>417</v>
      </c>
      <c r="C9" s="414"/>
      <c r="D9" s="417"/>
      <c r="E9" s="402"/>
    </row>
    <row r="10" spans="1:5" ht="26.25">
      <c r="A10" s="419">
        <v>44743</v>
      </c>
      <c r="B10" s="426" t="s">
        <v>416</v>
      </c>
      <c r="C10" s="414"/>
      <c r="D10" s="417"/>
      <c r="E10" s="402"/>
    </row>
    <row r="11" spans="1:5" ht="25.5">
      <c r="A11" s="419">
        <v>44774</v>
      </c>
      <c r="B11" s="425" t="s">
        <v>415</v>
      </c>
      <c r="C11" s="414"/>
      <c r="D11" s="417"/>
      <c r="E11" s="402"/>
    </row>
    <row r="12" spans="1:5" ht="15.75">
      <c r="A12" s="419">
        <v>44805</v>
      </c>
      <c r="B12" s="423" t="s">
        <v>414</v>
      </c>
      <c r="C12" s="414"/>
      <c r="D12" s="417"/>
      <c r="E12" s="402"/>
    </row>
    <row r="13" spans="1:5" ht="15.75">
      <c r="A13" s="419">
        <v>44835</v>
      </c>
      <c r="B13" s="423" t="s">
        <v>413</v>
      </c>
      <c r="C13" s="414"/>
      <c r="D13" s="417"/>
      <c r="E13" s="424" t="s">
        <v>412</v>
      </c>
    </row>
    <row r="14" spans="1:5" ht="15.75">
      <c r="A14" s="419">
        <v>44866</v>
      </c>
      <c r="B14" s="423" t="s">
        <v>405</v>
      </c>
      <c r="C14" s="414"/>
      <c r="D14" s="417"/>
      <c r="E14" s="402"/>
    </row>
    <row r="15" spans="1:5" ht="16.5" thickBot="1">
      <c r="A15" s="419">
        <v>44896</v>
      </c>
      <c r="B15" s="423" t="s">
        <v>411</v>
      </c>
      <c r="C15" s="414"/>
      <c r="D15" s="417"/>
      <c r="E15" s="402"/>
    </row>
    <row r="16" spans="1:5" ht="17.25" thickTop="1" thickBot="1">
      <c r="A16" s="412"/>
      <c r="B16" s="410" t="s">
        <v>410</v>
      </c>
      <c r="C16" s="410"/>
      <c r="D16" s="410"/>
      <c r="E16" s="402"/>
    </row>
    <row r="17" spans="1:5" ht="16.5" thickTop="1">
      <c r="A17" s="419">
        <v>44563</v>
      </c>
      <c r="B17" s="421" t="s">
        <v>409</v>
      </c>
      <c r="C17" s="414"/>
      <c r="D17" s="417"/>
      <c r="E17" s="402"/>
    </row>
    <row r="18" spans="1:5" ht="15.75">
      <c r="A18" s="419">
        <v>44594</v>
      </c>
      <c r="B18" s="421" t="s">
        <v>408</v>
      </c>
      <c r="C18" s="414"/>
      <c r="D18" s="417"/>
      <c r="E18" s="402"/>
    </row>
    <row r="19" spans="1:5" ht="26.25">
      <c r="A19" s="419">
        <v>44622</v>
      </c>
      <c r="B19" s="421" t="s">
        <v>407</v>
      </c>
      <c r="C19" s="414"/>
      <c r="D19" s="417"/>
      <c r="E19" s="402"/>
    </row>
    <row r="20" spans="1:5" ht="15.75">
      <c r="A20" s="419">
        <v>44653</v>
      </c>
      <c r="B20" s="421" t="s">
        <v>406</v>
      </c>
      <c r="C20" s="414"/>
      <c r="D20" s="417"/>
      <c r="E20" s="402"/>
    </row>
    <row r="21" spans="1:5" ht="15.75">
      <c r="A21" s="419">
        <v>44683</v>
      </c>
      <c r="B21" s="423" t="s">
        <v>405</v>
      </c>
      <c r="C21" s="414"/>
      <c r="D21" s="417"/>
      <c r="E21" s="402"/>
    </row>
    <row r="22" spans="1:5" ht="16.5" thickBot="1">
      <c r="A22" s="419">
        <v>44714</v>
      </c>
      <c r="B22" s="423" t="s">
        <v>404</v>
      </c>
      <c r="C22" s="414"/>
      <c r="D22" s="417"/>
      <c r="E22" s="402"/>
    </row>
    <row r="23" spans="1:5" ht="17.25" thickTop="1" thickBot="1">
      <c r="A23" s="412"/>
      <c r="B23" s="410" t="s">
        <v>403</v>
      </c>
      <c r="C23" s="410"/>
      <c r="D23" s="410"/>
      <c r="E23" s="402"/>
    </row>
    <row r="24" spans="1:5" ht="27" thickTop="1">
      <c r="A24" s="419">
        <v>44564</v>
      </c>
      <c r="B24" s="421" t="s">
        <v>402</v>
      </c>
      <c r="C24" s="414"/>
      <c r="D24" s="417"/>
      <c r="E24" s="402"/>
    </row>
    <row r="25" spans="1:5" ht="26.25">
      <c r="A25" s="419">
        <v>44595</v>
      </c>
      <c r="B25" s="421" t="s">
        <v>401</v>
      </c>
      <c r="C25" s="414"/>
      <c r="D25" s="417"/>
      <c r="E25" s="402"/>
    </row>
    <row r="26" spans="1:5" ht="15.75">
      <c r="A26" s="419">
        <v>44623</v>
      </c>
      <c r="B26" s="421" t="s">
        <v>400</v>
      </c>
      <c r="C26" s="414"/>
      <c r="D26" s="417"/>
      <c r="E26" s="402"/>
    </row>
    <row r="27" spans="1:5" ht="115.5">
      <c r="A27" s="419">
        <v>44654</v>
      </c>
      <c r="B27" s="421" t="s">
        <v>399</v>
      </c>
      <c r="C27" s="414"/>
      <c r="D27" s="422"/>
      <c r="E27" s="402"/>
    </row>
    <row r="28" spans="1:5" ht="51.75">
      <c r="A28" s="419">
        <v>44684</v>
      </c>
      <c r="B28" s="421" t="s">
        <v>398</v>
      </c>
      <c r="C28" s="414"/>
      <c r="D28" s="417"/>
      <c r="E28" s="402"/>
    </row>
    <row r="29" spans="1:5" ht="39">
      <c r="A29" s="419">
        <v>44715</v>
      </c>
      <c r="B29" s="421" t="s">
        <v>397</v>
      </c>
      <c r="C29" s="414"/>
      <c r="D29" s="417"/>
      <c r="E29" s="402"/>
    </row>
    <row r="30" spans="1:5" ht="16.5" thickBot="1">
      <c r="A30" s="419">
        <v>44745</v>
      </c>
      <c r="B30" s="420" t="s">
        <v>396</v>
      </c>
      <c r="C30" s="414"/>
      <c r="D30" s="417"/>
      <c r="E30" s="402"/>
    </row>
    <row r="31" spans="1:5" ht="17.25" thickTop="1" thickBot="1">
      <c r="A31" s="412"/>
      <c r="B31" s="410" t="s">
        <v>395</v>
      </c>
      <c r="C31" s="410"/>
      <c r="D31" s="410"/>
      <c r="E31" s="402"/>
    </row>
    <row r="32" spans="1:5" ht="28.5" customHeight="1" thickTop="1">
      <c r="A32" s="419">
        <v>44565</v>
      </c>
      <c r="B32" s="418" t="s">
        <v>394</v>
      </c>
      <c r="C32" s="414"/>
      <c r="D32" s="417"/>
      <c r="E32" s="402"/>
    </row>
    <row r="33" spans="1:5" ht="16.5" thickBot="1">
      <c r="A33" s="419">
        <v>44596</v>
      </c>
      <c r="B33" s="420" t="s">
        <v>393</v>
      </c>
      <c r="C33" s="414"/>
      <c r="D33" s="417"/>
      <c r="E33" s="402"/>
    </row>
    <row r="34" spans="1:5" ht="17.25" thickTop="1" thickBot="1">
      <c r="A34" s="412"/>
      <c r="B34" s="410" t="s">
        <v>392</v>
      </c>
      <c r="C34" s="410"/>
      <c r="D34" s="410"/>
      <c r="E34" s="402"/>
    </row>
    <row r="35" spans="1:5" ht="16.5" thickTop="1">
      <c r="A35" s="419">
        <v>44566</v>
      </c>
      <c r="B35" s="418" t="s">
        <v>391</v>
      </c>
      <c r="C35" s="414"/>
      <c r="D35" s="417"/>
      <c r="E35" s="402"/>
    </row>
    <row r="36" spans="1:5" ht="39.75" thickBot="1">
      <c r="A36" s="416">
        <v>44597</v>
      </c>
      <c r="B36" s="415" t="s">
        <v>390</v>
      </c>
      <c r="C36" s="414"/>
      <c r="D36" s="413"/>
      <c r="E36" s="402"/>
    </row>
    <row r="37" spans="1:5" ht="17.25" thickTop="1" thickBot="1">
      <c r="A37" s="412"/>
      <c r="B37" s="410" t="s">
        <v>389</v>
      </c>
      <c r="C37" s="411"/>
      <c r="D37" s="410"/>
      <c r="E37" s="402"/>
    </row>
    <row r="38" spans="1:5" ht="27" thickTop="1" thickBot="1">
      <c r="A38" s="409">
        <v>44567</v>
      </c>
      <c r="B38" s="408" t="s">
        <v>388</v>
      </c>
      <c r="C38" s="407"/>
      <c r="D38" s="406"/>
      <c r="E38" s="402"/>
    </row>
    <row r="39" spans="1:5" ht="16.5" thickTop="1">
      <c r="A39" s="404"/>
      <c r="B39" s="403"/>
      <c r="C39" s="399"/>
      <c r="D39" s="405"/>
      <c r="E39" s="402"/>
    </row>
    <row r="40" spans="1:5" ht="15.75">
      <c r="A40" s="404"/>
      <c r="B40" s="403"/>
      <c r="C40" s="399"/>
      <c r="D40" s="398"/>
      <c r="E40" s="402"/>
    </row>
    <row r="41" spans="1:5" ht="15.75">
      <c r="A41" s="401"/>
      <c r="B41" s="400"/>
      <c r="C41" s="399"/>
      <c r="D41" s="398"/>
      <c r="E41" s="402"/>
    </row>
    <row r="42" spans="1:5" ht="15.75">
      <c r="A42" s="401"/>
      <c r="B42" s="400"/>
      <c r="C42" s="399"/>
      <c r="D42" s="398"/>
      <c r="E42" s="402"/>
    </row>
    <row r="43" spans="1:5" ht="15.75">
      <c r="A43" s="401"/>
      <c r="B43" s="400"/>
      <c r="C43" s="399"/>
      <c r="D43" s="398"/>
      <c r="E43" s="402"/>
    </row>
    <row r="44" spans="1:5" ht="15.75">
      <c r="A44" s="401"/>
      <c r="B44" s="400"/>
      <c r="C44" s="399"/>
      <c r="D44" s="398"/>
      <c r="E44" s="402"/>
    </row>
    <row r="45" spans="1:5" ht="15.75">
      <c r="A45" s="401"/>
      <c r="B45" s="400"/>
      <c r="C45" s="399"/>
      <c r="D45" s="398"/>
      <c r="E45" s="402"/>
    </row>
    <row r="46" spans="1:5" ht="15.75">
      <c r="A46" s="401"/>
      <c r="B46" s="400"/>
      <c r="C46" s="399"/>
      <c r="D46" s="398"/>
      <c r="E46" s="402"/>
    </row>
    <row r="47" spans="1:5" ht="15.75">
      <c r="A47" s="401"/>
      <c r="B47" s="400"/>
      <c r="C47" s="399"/>
      <c r="D47" s="398"/>
      <c r="E47" s="402"/>
    </row>
    <row r="48" spans="1:5" ht="15.75">
      <c r="A48" s="401"/>
      <c r="B48" s="400"/>
      <c r="C48" s="399"/>
      <c r="D48" s="398"/>
      <c r="E48" s="402"/>
    </row>
    <row r="49" spans="1:5" ht="15.75">
      <c r="A49" s="401"/>
      <c r="B49" s="400"/>
      <c r="C49" s="399"/>
      <c r="D49" s="398"/>
      <c r="E49" s="402"/>
    </row>
    <row r="50" spans="1:5" ht="15.75">
      <c r="A50" s="401"/>
      <c r="B50" s="400"/>
      <c r="C50" s="399"/>
      <c r="D50" s="398"/>
      <c r="E50" s="402"/>
    </row>
    <row r="51" spans="1:5" ht="15.75">
      <c r="A51" s="401"/>
      <c r="B51" s="400"/>
      <c r="C51" s="399"/>
      <c r="D51" s="398"/>
      <c r="E51" s="402"/>
    </row>
    <row r="52" spans="1:5" ht="15.75">
      <c r="A52" s="401"/>
      <c r="B52" s="400"/>
      <c r="C52" s="399"/>
      <c r="D52" s="398"/>
      <c r="E52" s="402"/>
    </row>
    <row r="53" spans="1:5" ht="15.75">
      <c r="A53" s="401"/>
      <c r="B53" s="400"/>
      <c r="C53" s="399"/>
      <c r="D53" s="398"/>
      <c r="E53" s="402"/>
    </row>
    <row r="54" spans="1:5" ht="15.75">
      <c r="A54" s="401"/>
      <c r="B54" s="400"/>
      <c r="C54" s="399"/>
      <c r="D54" s="398"/>
      <c r="E54" s="402"/>
    </row>
    <row r="55" spans="1:5" ht="15.75">
      <c r="A55" s="401"/>
      <c r="B55" s="400"/>
      <c r="C55" s="399"/>
      <c r="D55" s="398"/>
      <c r="E55" s="402"/>
    </row>
    <row r="56" spans="1:5" ht="15.75">
      <c r="A56" s="401"/>
      <c r="B56" s="400"/>
      <c r="C56" s="399"/>
      <c r="D56" s="398"/>
      <c r="E56" s="402"/>
    </row>
    <row r="57" spans="1:5" ht="15.75">
      <c r="A57" s="401"/>
      <c r="B57" s="400"/>
      <c r="C57" s="399"/>
      <c r="D57" s="398"/>
      <c r="E57" s="402"/>
    </row>
    <row r="58" spans="1:5" ht="15.75">
      <c r="A58" s="401"/>
      <c r="B58" s="400"/>
      <c r="C58" s="399"/>
      <c r="D58" s="398"/>
      <c r="E58" s="402"/>
    </row>
    <row r="59" spans="1:5" ht="15.75">
      <c r="A59" s="401"/>
      <c r="B59" s="400"/>
      <c r="C59" s="399"/>
      <c r="D59" s="398"/>
      <c r="E59" s="402"/>
    </row>
    <row r="60" spans="1:5" ht="15.75">
      <c r="A60" s="401"/>
      <c r="B60" s="400"/>
      <c r="C60" s="399"/>
      <c r="D60" s="398"/>
      <c r="E60" s="402"/>
    </row>
    <row r="61" spans="1:5" ht="15.75">
      <c r="A61" s="401"/>
      <c r="B61" s="400"/>
      <c r="C61" s="399"/>
      <c r="D61" s="398"/>
      <c r="E61" s="402"/>
    </row>
    <row r="62" spans="1:5" ht="15.75">
      <c r="A62" s="401"/>
      <c r="B62" s="400"/>
      <c r="C62" s="399"/>
      <c r="D62" s="398"/>
      <c r="E62" s="402"/>
    </row>
    <row r="63" spans="1:5" ht="15.75">
      <c r="A63" s="401"/>
      <c r="B63" s="400"/>
      <c r="C63" s="399"/>
      <c r="D63" s="398"/>
      <c r="E63" s="402"/>
    </row>
    <row r="64" spans="1:5" ht="15.75">
      <c r="A64" s="401"/>
      <c r="B64" s="400"/>
      <c r="C64" s="399"/>
      <c r="D64" s="398"/>
      <c r="E64" s="402"/>
    </row>
    <row r="65" spans="1:5" ht="15.75">
      <c r="A65" s="401"/>
      <c r="B65" s="400"/>
      <c r="C65" s="399"/>
      <c r="D65" s="398"/>
      <c r="E65" s="402"/>
    </row>
    <row r="66" spans="1:5" ht="15.75">
      <c r="A66" s="401"/>
      <c r="B66" s="400"/>
      <c r="C66" s="399"/>
      <c r="D66" s="398"/>
      <c r="E66" s="402"/>
    </row>
    <row r="67" spans="1:5" ht="15.75">
      <c r="A67" s="401"/>
      <c r="B67" s="400"/>
      <c r="C67" s="399"/>
      <c r="D67" s="398"/>
      <c r="E67" s="402"/>
    </row>
    <row r="68" spans="1:5" ht="15.75">
      <c r="A68" s="401"/>
      <c r="B68" s="400"/>
      <c r="C68" s="399"/>
      <c r="D68" s="398"/>
      <c r="E68" s="402"/>
    </row>
    <row r="69" spans="1:5" ht="15.75">
      <c r="A69" s="401"/>
      <c r="B69" s="400"/>
      <c r="C69" s="399"/>
      <c r="D69" s="398"/>
      <c r="E69" s="402"/>
    </row>
    <row r="70" spans="1:5" ht="15.75">
      <c r="A70" s="401"/>
      <c r="B70" s="400"/>
      <c r="C70" s="399"/>
      <c r="D70" s="398"/>
      <c r="E70" s="402"/>
    </row>
    <row r="71" spans="1:5" ht="15.75">
      <c r="A71" s="401"/>
      <c r="B71" s="400"/>
      <c r="C71" s="399"/>
      <c r="D71" s="398"/>
      <c r="E71" s="402"/>
    </row>
    <row r="72" spans="1:5" ht="15.75">
      <c r="A72" s="401"/>
      <c r="B72" s="400"/>
      <c r="C72" s="399"/>
      <c r="D72" s="398"/>
      <c r="E72" s="402"/>
    </row>
    <row r="73" spans="1:5" ht="15.75">
      <c r="A73" s="401"/>
      <c r="B73" s="400"/>
      <c r="C73" s="399"/>
      <c r="D73" s="398"/>
      <c r="E73" s="402"/>
    </row>
    <row r="74" spans="1:5" ht="15.75">
      <c r="A74" s="401"/>
      <c r="B74" s="400"/>
      <c r="C74" s="399"/>
      <c r="D74" s="398"/>
      <c r="E74" s="402"/>
    </row>
    <row r="75" spans="1:5" ht="15.75">
      <c r="A75" s="401"/>
      <c r="B75" s="400"/>
      <c r="C75" s="399"/>
      <c r="D75" s="398"/>
      <c r="E75" s="402"/>
    </row>
    <row r="76" spans="1:5" ht="15.75">
      <c r="A76" s="401"/>
      <c r="B76" s="400"/>
      <c r="C76" s="399"/>
      <c r="D76" s="398"/>
      <c r="E76" s="402"/>
    </row>
    <row r="77" spans="1:5" ht="15.75">
      <c r="A77" s="401"/>
      <c r="B77" s="400"/>
      <c r="C77" s="399"/>
      <c r="D77" s="398"/>
      <c r="E77" s="402"/>
    </row>
    <row r="78" spans="1:5" ht="15.75">
      <c r="A78" s="401"/>
      <c r="B78" s="400"/>
      <c r="C78" s="399"/>
      <c r="D78" s="398"/>
      <c r="E78" s="402"/>
    </row>
    <row r="79" spans="1:5" ht="15.75">
      <c r="A79" s="401"/>
      <c r="B79" s="400"/>
      <c r="C79" s="399"/>
      <c r="D79" s="398"/>
      <c r="E79" s="402"/>
    </row>
    <row r="80" spans="1:5" ht="15.75">
      <c r="A80" s="401"/>
      <c r="B80" s="400"/>
      <c r="C80" s="399"/>
      <c r="D80" s="398"/>
      <c r="E80" s="402"/>
    </row>
    <row r="81" spans="1:5" ht="15.75">
      <c r="A81" s="401"/>
      <c r="B81" s="400"/>
      <c r="C81" s="399"/>
      <c r="D81" s="398"/>
      <c r="E81" s="402"/>
    </row>
    <row r="82" spans="1:5" ht="15.75">
      <c r="A82" s="401"/>
      <c r="B82" s="400"/>
      <c r="C82" s="399"/>
      <c r="D82" s="398"/>
      <c r="E82" s="402"/>
    </row>
    <row r="83" spans="1:5" ht="15.75">
      <c r="A83" s="401"/>
      <c r="B83" s="400"/>
      <c r="C83" s="399"/>
      <c r="D83" s="398"/>
      <c r="E83" s="402"/>
    </row>
    <row r="84" spans="1:5" ht="15.75">
      <c r="A84" s="401"/>
      <c r="B84" s="400"/>
      <c r="C84" s="399"/>
      <c r="D84" s="398"/>
      <c r="E84" s="402"/>
    </row>
    <row r="85" spans="1:5" ht="15.75">
      <c r="A85" s="401"/>
      <c r="B85" s="400"/>
      <c r="C85" s="399"/>
      <c r="D85" s="398"/>
      <c r="E85" s="402"/>
    </row>
    <row r="86" spans="1:5" ht="15.75">
      <c r="A86" s="401"/>
      <c r="B86" s="400"/>
      <c r="C86" s="399"/>
      <c r="D86" s="398"/>
      <c r="E86" s="402"/>
    </row>
    <row r="87" spans="1:5" ht="15.75">
      <c r="A87" s="401"/>
      <c r="B87" s="400"/>
      <c r="C87" s="399"/>
      <c r="D87" s="398"/>
      <c r="E87" s="402"/>
    </row>
    <row r="88" spans="1:5" ht="15.75">
      <c r="A88" s="401"/>
      <c r="B88" s="400"/>
      <c r="C88" s="399"/>
      <c r="D88" s="398"/>
      <c r="E88" s="402"/>
    </row>
    <row r="89" spans="1:5" ht="15.75">
      <c r="A89" s="401"/>
      <c r="B89" s="400"/>
      <c r="C89" s="399"/>
      <c r="D89" s="398"/>
      <c r="E89" s="402"/>
    </row>
    <row r="90" spans="1:5" ht="15.75">
      <c r="A90" s="401"/>
      <c r="B90" s="400"/>
      <c r="C90" s="399"/>
      <c r="D90" s="398"/>
      <c r="E90" s="402"/>
    </row>
    <row r="91" spans="1:5" ht="15.75">
      <c r="A91" s="401"/>
      <c r="B91" s="400"/>
      <c r="C91" s="399"/>
      <c r="D91" s="398"/>
      <c r="E91" s="402"/>
    </row>
    <row r="92" spans="1:5" ht="15.75">
      <c r="A92" s="401"/>
      <c r="B92" s="400"/>
      <c r="C92" s="399"/>
      <c r="D92" s="398"/>
      <c r="E92" s="402"/>
    </row>
    <row r="93" spans="1:5" ht="15.75">
      <c r="A93" s="401"/>
      <c r="B93" s="400"/>
      <c r="C93" s="399"/>
      <c r="D93" s="398"/>
      <c r="E93" s="402"/>
    </row>
    <row r="94" spans="1:5" ht="15.75">
      <c r="A94" s="401"/>
      <c r="B94" s="400"/>
      <c r="C94" s="399"/>
      <c r="D94" s="398"/>
      <c r="E94" s="402"/>
    </row>
    <row r="95" spans="1:5" ht="15.75">
      <c r="A95" s="401"/>
      <c r="B95" s="400"/>
      <c r="C95" s="399"/>
      <c r="D95" s="398"/>
      <c r="E95" s="402"/>
    </row>
    <row r="96" spans="1:5" ht="15.75">
      <c r="A96" s="401"/>
      <c r="B96" s="400"/>
      <c r="C96" s="399"/>
      <c r="D96" s="398"/>
      <c r="E96" s="402"/>
    </row>
    <row r="97" spans="1:5" ht="15.75">
      <c r="A97" s="401"/>
      <c r="B97" s="400"/>
      <c r="C97" s="399"/>
      <c r="D97" s="398"/>
      <c r="E97" s="402"/>
    </row>
    <row r="98" spans="1:5" ht="15.75">
      <c r="A98" s="401"/>
      <c r="B98" s="400"/>
      <c r="C98" s="399"/>
      <c r="D98" s="398"/>
      <c r="E98" s="402"/>
    </row>
    <row r="99" spans="1:5" ht="15.75">
      <c r="A99" s="401"/>
      <c r="B99" s="400"/>
      <c r="C99" s="399"/>
      <c r="D99" s="398"/>
      <c r="E99" s="402"/>
    </row>
    <row r="100" spans="1:5" ht="15.75">
      <c r="A100" s="401"/>
      <c r="B100" s="400"/>
      <c r="C100" s="399"/>
      <c r="D100" s="398"/>
      <c r="E100" s="402"/>
    </row>
    <row r="101" spans="1:5" ht="15.75">
      <c r="A101" s="401"/>
      <c r="B101" s="400"/>
      <c r="C101" s="399"/>
      <c r="D101" s="398"/>
      <c r="E101" s="402"/>
    </row>
    <row r="102" spans="1:5" ht="15.75">
      <c r="A102" s="401"/>
      <c r="B102" s="400"/>
      <c r="C102" s="399"/>
      <c r="D102" s="398"/>
      <c r="E102" s="402"/>
    </row>
    <row r="103" spans="1:5" ht="15.75">
      <c r="A103" s="401"/>
      <c r="B103" s="400"/>
      <c r="C103" s="399"/>
      <c r="D103" s="398"/>
      <c r="E103" s="402"/>
    </row>
    <row r="104" spans="1:5" ht="15.75">
      <c r="A104" s="401"/>
      <c r="B104" s="400"/>
      <c r="C104" s="399"/>
      <c r="D104" s="398"/>
      <c r="E104" s="402"/>
    </row>
    <row r="105" spans="1:5" ht="15.75">
      <c r="A105" s="401"/>
      <c r="B105" s="400"/>
      <c r="C105" s="399"/>
      <c r="D105" s="398"/>
      <c r="E105" s="402"/>
    </row>
    <row r="106" spans="1:5" ht="15.75">
      <c r="A106" s="401"/>
      <c r="B106" s="400"/>
      <c r="C106" s="399"/>
      <c r="D106" s="398"/>
      <c r="E106" s="402"/>
    </row>
    <row r="107" spans="1:5" ht="15.75">
      <c r="A107" s="401"/>
      <c r="B107" s="400"/>
      <c r="C107" s="399"/>
      <c r="D107" s="398"/>
      <c r="E107" s="402"/>
    </row>
    <row r="108" spans="1:5" ht="15.75">
      <c r="A108" s="401"/>
      <c r="B108" s="400"/>
      <c r="C108" s="399"/>
      <c r="D108" s="398"/>
      <c r="E108" s="402"/>
    </row>
    <row r="109" spans="1:5" ht="15.75">
      <c r="A109" s="401"/>
      <c r="B109" s="400"/>
      <c r="C109" s="399"/>
      <c r="D109" s="398"/>
      <c r="E109" s="402"/>
    </row>
    <row r="110" spans="1:5" ht="15.75">
      <c r="A110" s="401"/>
      <c r="B110" s="400"/>
      <c r="C110" s="399"/>
      <c r="D110" s="398"/>
      <c r="E110" s="402"/>
    </row>
    <row r="111" spans="1:5" ht="15.75">
      <c r="A111" s="401"/>
      <c r="B111" s="400"/>
      <c r="C111" s="399"/>
      <c r="D111" s="398"/>
      <c r="E111" s="402"/>
    </row>
    <row r="112" spans="1:5">
      <c r="A112" s="401"/>
      <c r="B112" s="400"/>
      <c r="C112" s="399"/>
      <c r="D112" s="398"/>
      <c r="E112" s="397"/>
    </row>
    <row r="113" spans="1:5">
      <c r="A113" s="401"/>
      <c r="B113" s="400"/>
      <c r="C113" s="399"/>
      <c r="D113" s="398"/>
      <c r="E113" s="397"/>
    </row>
    <row r="114" spans="1:5">
      <c r="A114" s="401"/>
      <c r="B114" s="400"/>
      <c r="C114" s="399"/>
      <c r="D114" s="398"/>
      <c r="E114" s="397"/>
    </row>
    <row r="115" spans="1:5">
      <c r="A115" s="401"/>
      <c r="B115" s="400"/>
      <c r="C115" s="399"/>
      <c r="D115" s="398"/>
      <c r="E115" s="397"/>
    </row>
    <row r="116" spans="1:5">
      <c r="A116" s="401"/>
      <c r="B116" s="400"/>
      <c r="C116" s="399"/>
      <c r="D116" s="398"/>
      <c r="E116" s="397"/>
    </row>
    <row r="117" spans="1:5">
      <c r="A117" s="401"/>
      <c r="B117" s="400"/>
      <c r="C117" s="399"/>
      <c r="D117" s="398"/>
      <c r="E117" s="397"/>
    </row>
    <row r="118" spans="1:5">
      <c r="A118" s="401"/>
      <c r="B118" s="400"/>
      <c r="C118" s="399"/>
      <c r="D118" s="398"/>
      <c r="E118" s="397"/>
    </row>
    <row r="119" spans="1:5">
      <c r="A119" s="401"/>
      <c r="B119" s="400"/>
      <c r="C119" s="399"/>
      <c r="D119" s="398"/>
      <c r="E119" s="397"/>
    </row>
    <row r="120" spans="1:5">
      <c r="A120" s="401"/>
      <c r="B120" s="400"/>
      <c r="C120" s="399"/>
      <c r="D120" s="398"/>
      <c r="E120" s="397"/>
    </row>
    <row r="121" spans="1:5">
      <c r="A121" s="401"/>
      <c r="B121" s="400"/>
      <c r="C121" s="399"/>
      <c r="D121" s="398"/>
      <c r="E121" s="397"/>
    </row>
    <row r="122" spans="1:5">
      <c r="A122" s="401"/>
      <c r="B122" s="400"/>
      <c r="C122" s="399"/>
      <c r="D122" s="398"/>
      <c r="E122" s="397"/>
    </row>
    <row r="123" spans="1:5">
      <c r="A123" s="401"/>
      <c r="B123" s="400"/>
      <c r="C123" s="399"/>
      <c r="D123" s="398"/>
      <c r="E123" s="397"/>
    </row>
    <row r="124" spans="1:5">
      <c r="A124" s="401"/>
      <c r="B124" s="400"/>
      <c r="C124" s="399"/>
      <c r="D124" s="398"/>
      <c r="E124" s="397"/>
    </row>
    <row r="125" spans="1:5">
      <c r="A125" s="401"/>
      <c r="B125" s="400"/>
      <c r="C125" s="399"/>
      <c r="D125" s="398"/>
      <c r="E125" s="397"/>
    </row>
    <row r="126" spans="1:5">
      <c r="A126" s="401"/>
      <c r="B126" s="400"/>
      <c r="C126" s="399"/>
      <c r="D126" s="398"/>
      <c r="E126" s="397"/>
    </row>
    <row r="127" spans="1:5">
      <c r="A127" s="401"/>
      <c r="B127" s="400"/>
      <c r="C127" s="399"/>
      <c r="D127" s="398"/>
      <c r="E127" s="397"/>
    </row>
    <row r="128" spans="1:5">
      <c r="A128" s="401"/>
      <c r="B128" s="400"/>
      <c r="C128" s="399"/>
      <c r="D128" s="398"/>
      <c r="E128" s="397"/>
    </row>
    <row r="129" spans="1:5">
      <c r="A129" s="401"/>
      <c r="B129" s="400"/>
      <c r="C129" s="399"/>
      <c r="D129" s="398"/>
      <c r="E129" s="397"/>
    </row>
    <row r="130" spans="1:5">
      <c r="A130" s="401"/>
      <c r="B130" s="400"/>
      <c r="C130" s="399"/>
      <c r="D130" s="398"/>
      <c r="E130" s="397"/>
    </row>
    <row r="131" spans="1:5">
      <c r="A131" s="401"/>
      <c r="B131" s="400"/>
      <c r="C131" s="399"/>
      <c r="D131" s="398"/>
      <c r="E131" s="397"/>
    </row>
    <row r="132" spans="1:5">
      <c r="A132" s="401"/>
      <c r="B132" s="400"/>
      <c r="C132" s="399"/>
      <c r="D132" s="398"/>
      <c r="E132" s="397"/>
    </row>
    <row r="133" spans="1:5">
      <c r="A133" s="401"/>
      <c r="B133" s="400"/>
      <c r="C133" s="399"/>
      <c r="D133" s="398"/>
      <c r="E133" s="397"/>
    </row>
    <row r="134" spans="1:5">
      <c r="A134" s="401"/>
      <c r="B134" s="400"/>
      <c r="C134" s="399"/>
      <c r="D134" s="398"/>
      <c r="E134" s="397"/>
    </row>
    <row r="135" spans="1:5">
      <c r="A135" s="401"/>
      <c r="B135" s="400"/>
      <c r="C135" s="399"/>
      <c r="D135" s="398"/>
      <c r="E135" s="397"/>
    </row>
    <row r="136" spans="1:5">
      <c r="A136" s="401"/>
      <c r="B136" s="400"/>
      <c r="C136" s="399"/>
      <c r="D136" s="398"/>
      <c r="E136" s="397"/>
    </row>
    <row r="137" spans="1:5">
      <c r="A137" s="401"/>
      <c r="B137" s="400"/>
      <c r="C137" s="399"/>
      <c r="D137" s="398"/>
      <c r="E137" s="397"/>
    </row>
    <row r="138" spans="1:5">
      <c r="A138" s="401"/>
      <c r="B138" s="400"/>
      <c r="C138" s="399"/>
      <c r="D138" s="398"/>
      <c r="E138" s="397"/>
    </row>
    <row r="139" spans="1:5">
      <c r="A139" s="401"/>
      <c r="B139" s="400"/>
      <c r="C139" s="399"/>
      <c r="D139" s="398"/>
      <c r="E139" s="397"/>
    </row>
    <row r="140" spans="1:5">
      <c r="A140" s="401"/>
      <c r="B140" s="400"/>
      <c r="C140" s="399"/>
      <c r="D140" s="398"/>
      <c r="E140" s="397"/>
    </row>
    <row r="141" spans="1:5">
      <c r="A141" s="401"/>
      <c r="B141" s="400"/>
      <c r="C141" s="399"/>
      <c r="D141" s="398"/>
      <c r="E141" s="397"/>
    </row>
    <row r="142" spans="1:5">
      <c r="A142" s="401"/>
      <c r="B142" s="400"/>
      <c r="C142" s="399"/>
      <c r="D142" s="398"/>
      <c r="E142" s="397"/>
    </row>
    <row r="143" spans="1:5">
      <c r="A143" s="401"/>
      <c r="B143" s="400"/>
      <c r="C143" s="399"/>
      <c r="D143" s="398"/>
      <c r="E143" s="397"/>
    </row>
    <row r="144" spans="1:5">
      <c r="A144" s="401"/>
      <c r="B144" s="400"/>
      <c r="C144" s="399"/>
      <c r="D144" s="398"/>
      <c r="E144" s="397"/>
    </row>
    <row r="145" spans="1:5">
      <c r="A145" s="401"/>
      <c r="B145" s="400"/>
      <c r="C145" s="399"/>
      <c r="D145" s="398"/>
      <c r="E145" s="397"/>
    </row>
    <row r="146" spans="1:5">
      <c r="A146" s="401"/>
      <c r="B146" s="400"/>
      <c r="C146" s="399"/>
      <c r="D146" s="398"/>
      <c r="E146" s="397"/>
    </row>
    <row r="147" spans="1:5">
      <c r="A147" s="401"/>
      <c r="B147" s="400"/>
      <c r="C147" s="399"/>
      <c r="D147" s="398"/>
      <c r="E147" s="397"/>
    </row>
    <row r="148" spans="1:5">
      <c r="A148" s="401"/>
      <c r="B148" s="400"/>
      <c r="C148" s="399"/>
      <c r="D148" s="398"/>
      <c r="E148" s="397"/>
    </row>
    <row r="149" spans="1:5">
      <c r="A149" s="401"/>
      <c r="B149" s="400"/>
      <c r="C149" s="399"/>
      <c r="D149" s="398"/>
      <c r="E149" s="397"/>
    </row>
    <row r="150" spans="1:5">
      <c r="A150" s="401"/>
      <c r="B150" s="400"/>
      <c r="C150" s="399"/>
      <c r="D150" s="398"/>
      <c r="E150" s="397"/>
    </row>
    <row r="151" spans="1:5">
      <c r="A151" s="401"/>
      <c r="B151" s="400"/>
      <c r="C151" s="399"/>
      <c r="D151" s="398"/>
      <c r="E151" s="397"/>
    </row>
    <row r="152" spans="1:5">
      <c r="A152" s="401"/>
      <c r="B152" s="400"/>
      <c r="C152" s="399"/>
      <c r="D152" s="398"/>
      <c r="E152" s="397"/>
    </row>
    <row r="153" spans="1:5">
      <c r="A153" s="401"/>
      <c r="B153" s="400"/>
      <c r="C153" s="399"/>
      <c r="D153" s="398"/>
      <c r="E153" s="397"/>
    </row>
    <row r="154" spans="1:5">
      <c r="A154" s="401"/>
      <c r="B154" s="400"/>
      <c r="C154" s="399"/>
      <c r="D154" s="398"/>
      <c r="E154" s="397"/>
    </row>
    <row r="155" spans="1:5">
      <c r="A155" s="401"/>
      <c r="B155" s="400"/>
      <c r="C155" s="399"/>
      <c r="D155" s="398"/>
      <c r="E155" s="397"/>
    </row>
    <row r="156" spans="1:5">
      <c r="A156" s="401"/>
      <c r="B156" s="400"/>
      <c r="C156" s="399"/>
      <c r="D156" s="398"/>
      <c r="E156" s="397"/>
    </row>
    <row r="157" spans="1:5">
      <c r="A157" s="401"/>
      <c r="B157" s="400"/>
      <c r="C157" s="399"/>
      <c r="D157" s="398"/>
      <c r="E157" s="397"/>
    </row>
    <row r="158" spans="1:5">
      <c r="A158" s="401"/>
      <c r="B158" s="400"/>
      <c r="C158" s="399"/>
      <c r="D158" s="398"/>
      <c r="E158" s="397"/>
    </row>
    <row r="159" spans="1:5">
      <c r="A159" s="401"/>
      <c r="B159" s="400"/>
      <c r="C159" s="399"/>
      <c r="D159" s="398"/>
      <c r="E159" s="397"/>
    </row>
    <row r="160" spans="1:5">
      <c r="A160" s="401"/>
      <c r="B160" s="400"/>
      <c r="C160" s="399"/>
      <c r="D160" s="398"/>
      <c r="E160" s="397"/>
    </row>
    <row r="161" spans="1:5">
      <c r="A161" s="401"/>
      <c r="B161" s="400"/>
      <c r="C161" s="399"/>
      <c r="D161" s="398"/>
      <c r="E161" s="397"/>
    </row>
    <row r="162" spans="1:5">
      <c r="A162" s="401"/>
      <c r="B162" s="400"/>
      <c r="C162" s="399"/>
      <c r="D162" s="398"/>
      <c r="E162" s="397"/>
    </row>
    <row r="163" spans="1:5">
      <c r="A163" s="401"/>
      <c r="B163" s="400"/>
      <c r="C163" s="399"/>
      <c r="D163" s="398"/>
      <c r="E163" s="397"/>
    </row>
    <row r="164" spans="1:5">
      <c r="A164" s="401"/>
      <c r="B164" s="400"/>
      <c r="C164" s="399"/>
      <c r="D164" s="398"/>
      <c r="E164" s="397"/>
    </row>
    <row r="165" spans="1:5">
      <c r="A165" s="401"/>
      <c r="B165" s="400"/>
      <c r="C165" s="399"/>
      <c r="D165" s="398"/>
      <c r="E165" s="397"/>
    </row>
    <row r="166" spans="1:5">
      <c r="A166" s="401"/>
      <c r="B166" s="400"/>
      <c r="C166" s="399"/>
      <c r="D166" s="398"/>
      <c r="E166" s="397"/>
    </row>
    <row r="167" spans="1:5">
      <c r="A167" s="401"/>
      <c r="B167" s="400"/>
      <c r="C167" s="399"/>
      <c r="D167" s="398"/>
      <c r="E167" s="397"/>
    </row>
    <row r="168" spans="1:5">
      <c r="A168" s="401"/>
      <c r="B168" s="400"/>
      <c r="C168" s="399"/>
      <c r="D168" s="398"/>
      <c r="E168" s="397"/>
    </row>
    <row r="169" spans="1:5">
      <c r="A169" s="401"/>
      <c r="B169" s="400"/>
      <c r="C169" s="399"/>
      <c r="D169" s="398"/>
      <c r="E169" s="397"/>
    </row>
    <row r="170" spans="1:5">
      <c r="A170" s="401"/>
      <c r="B170" s="400"/>
      <c r="C170" s="399"/>
      <c r="D170" s="398"/>
      <c r="E170" s="397"/>
    </row>
    <row r="171" spans="1:5">
      <c r="A171" s="401"/>
      <c r="B171" s="400"/>
      <c r="C171" s="399"/>
      <c r="D171" s="398"/>
      <c r="E171" s="397"/>
    </row>
    <row r="172" spans="1:5">
      <c r="A172" s="401"/>
      <c r="B172" s="400"/>
      <c r="C172" s="399"/>
      <c r="D172" s="398"/>
      <c r="E172" s="397"/>
    </row>
    <row r="173" spans="1:5">
      <c r="A173" s="401"/>
      <c r="B173" s="400"/>
      <c r="C173" s="399"/>
      <c r="D173" s="398"/>
      <c r="E173" s="397"/>
    </row>
    <row r="174" spans="1:5">
      <c r="A174" s="401"/>
      <c r="B174" s="400"/>
      <c r="C174" s="399"/>
      <c r="D174" s="398"/>
      <c r="E174" s="397"/>
    </row>
    <row r="175" spans="1:5">
      <c r="A175" s="401"/>
      <c r="B175" s="400"/>
      <c r="C175" s="399"/>
      <c r="D175" s="398"/>
      <c r="E175" s="397"/>
    </row>
    <row r="176" spans="1:5">
      <c r="A176" s="401"/>
      <c r="B176" s="400"/>
      <c r="C176" s="399"/>
      <c r="D176" s="398"/>
      <c r="E176" s="397"/>
    </row>
    <row r="177" spans="1:5">
      <c r="A177" s="401"/>
      <c r="B177" s="400"/>
      <c r="C177" s="399"/>
      <c r="D177" s="398"/>
      <c r="E177" s="397"/>
    </row>
    <row r="178" spans="1:5">
      <c r="A178" s="401"/>
      <c r="B178" s="400"/>
      <c r="C178" s="399"/>
      <c r="D178" s="398"/>
      <c r="E178" s="397"/>
    </row>
    <row r="179" spans="1:5">
      <c r="A179" s="401"/>
      <c r="B179" s="400"/>
      <c r="C179" s="399"/>
      <c r="D179" s="398"/>
      <c r="E179" s="397"/>
    </row>
    <row r="180" spans="1:5">
      <c r="A180" s="401"/>
      <c r="B180" s="400"/>
      <c r="C180" s="399"/>
      <c r="D180" s="398"/>
      <c r="E180" s="397"/>
    </row>
    <row r="181" spans="1:5">
      <c r="A181" s="401"/>
      <c r="B181" s="400"/>
      <c r="C181" s="399"/>
      <c r="D181" s="398"/>
      <c r="E181" s="397"/>
    </row>
    <row r="182" spans="1:5">
      <c r="A182" s="401"/>
      <c r="B182" s="400"/>
      <c r="C182" s="399"/>
      <c r="D182" s="398"/>
      <c r="E182" s="397"/>
    </row>
    <row r="183" spans="1:5">
      <c r="A183" s="401"/>
      <c r="B183" s="400"/>
      <c r="C183" s="399"/>
      <c r="D183" s="398"/>
      <c r="E183" s="397"/>
    </row>
    <row r="184" spans="1:5">
      <c r="A184" s="401"/>
      <c r="B184" s="400"/>
      <c r="C184" s="399"/>
      <c r="D184" s="398"/>
      <c r="E184" s="397"/>
    </row>
    <row r="185" spans="1:5">
      <c r="A185" s="401"/>
      <c r="B185" s="400"/>
      <c r="C185" s="399"/>
      <c r="D185" s="398"/>
      <c r="E185" s="397"/>
    </row>
    <row r="186" spans="1:5">
      <c r="A186" s="401"/>
      <c r="B186" s="400"/>
      <c r="C186" s="399"/>
      <c r="D186" s="398"/>
      <c r="E186" s="397"/>
    </row>
    <row r="187" spans="1:5">
      <c r="A187" s="401"/>
      <c r="B187" s="400"/>
      <c r="C187" s="399"/>
      <c r="D187" s="398"/>
      <c r="E187" s="397"/>
    </row>
    <row r="188" spans="1:5">
      <c r="A188" s="401"/>
      <c r="B188" s="400"/>
      <c r="C188" s="399"/>
      <c r="D188" s="398"/>
      <c r="E188" s="397"/>
    </row>
    <row r="189" spans="1:5">
      <c r="A189" s="401"/>
      <c r="B189" s="400"/>
      <c r="C189" s="399"/>
      <c r="D189" s="398"/>
      <c r="E189" s="397"/>
    </row>
    <row r="190" spans="1:5">
      <c r="A190" s="401"/>
      <c r="B190" s="400"/>
      <c r="C190" s="399"/>
      <c r="D190" s="398"/>
      <c r="E190" s="397"/>
    </row>
    <row r="191" spans="1:5">
      <c r="A191" s="401"/>
      <c r="B191" s="400"/>
      <c r="C191" s="399"/>
      <c r="D191" s="398"/>
      <c r="E191" s="397"/>
    </row>
    <row r="192" spans="1:5">
      <c r="A192" s="401"/>
      <c r="B192" s="400"/>
      <c r="C192" s="399"/>
      <c r="D192" s="398"/>
      <c r="E192" s="397"/>
    </row>
    <row r="193" spans="1:5">
      <c r="A193" s="401"/>
      <c r="B193" s="400"/>
      <c r="C193" s="399"/>
      <c r="D193" s="398"/>
      <c r="E193" s="397"/>
    </row>
    <row r="194" spans="1:5">
      <c r="A194" s="401"/>
      <c r="B194" s="400"/>
      <c r="C194" s="399"/>
      <c r="D194" s="398"/>
      <c r="E194" s="397"/>
    </row>
    <row r="195" spans="1:5">
      <c r="A195" s="401"/>
      <c r="B195" s="400"/>
      <c r="C195" s="399"/>
      <c r="D195" s="398"/>
      <c r="E195" s="397"/>
    </row>
    <row r="196" spans="1:5">
      <c r="A196" s="401"/>
      <c r="B196" s="400"/>
      <c r="C196" s="399"/>
      <c r="D196" s="398"/>
      <c r="E196" s="397"/>
    </row>
    <row r="197" spans="1:5">
      <c r="A197" s="401"/>
      <c r="B197" s="400"/>
      <c r="C197" s="399"/>
      <c r="D197" s="398"/>
      <c r="E197" s="397"/>
    </row>
    <row r="198" spans="1:5">
      <c r="A198" s="401"/>
      <c r="B198" s="400"/>
      <c r="C198" s="399"/>
      <c r="D198" s="398"/>
      <c r="E198" s="397"/>
    </row>
    <row r="199" spans="1:5">
      <c r="A199" s="401"/>
      <c r="B199" s="400"/>
      <c r="C199" s="399"/>
      <c r="D199" s="398"/>
      <c r="E199" s="397"/>
    </row>
    <row r="200" spans="1:5">
      <c r="A200" s="401"/>
      <c r="B200" s="400"/>
      <c r="C200" s="399"/>
      <c r="D200" s="398"/>
      <c r="E200" s="397"/>
    </row>
    <row r="201" spans="1:5">
      <c r="A201" s="401"/>
      <c r="B201" s="400"/>
      <c r="C201" s="399"/>
      <c r="D201" s="398"/>
      <c r="E201" s="397"/>
    </row>
    <row r="202" spans="1:5">
      <c r="A202" s="401"/>
      <c r="B202" s="400"/>
      <c r="C202" s="399"/>
      <c r="D202" s="398"/>
      <c r="E202" s="397"/>
    </row>
    <row r="203" spans="1:5">
      <c r="A203" s="401"/>
      <c r="B203" s="400"/>
      <c r="C203" s="399"/>
      <c r="D203" s="398"/>
      <c r="E203" s="397"/>
    </row>
    <row r="204" spans="1:5">
      <c r="A204" s="401"/>
      <c r="B204" s="400"/>
      <c r="C204" s="399"/>
      <c r="D204" s="398"/>
      <c r="E204" s="397"/>
    </row>
    <row r="205" spans="1:5">
      <c r="A205" s="401"/>
      <c r="B205" s="400"/>
      <c r="C205" s="399"/>
      <c r="D205" s="398"/>
      <c r="E205" s="397"/>
    </row>
    <row r="206" spans="1:5">
      <c r="A206" s="401"/>
      <c r="B206" s="400"/>
      <c r="C206" s="399"/>
      <c r="D206" s="398"/>
      <c r="E206" s="397"/>
    </row>
    <row r="207" spans="1:5">
      <c r="A207" s="401"/>
      <c r="B207" s="400"/>
      <c r="C207" s="399"/>
      <c r="D207" s="398"/>
      <c r="E207" s="397"/>
    </row>
    <row r="208" spans="1:5">
      <c r="A208" s="401"/>
      <c r="B208" s="400"/>
      <c r="C208" s="399"/>
      <c r="D208" s="398"/>
      <c r="E208" s="397"/>
    </row>
    <row r="209" spans="1:5">
      <c r="A209" s="401"/>
      <c r="B209" s="400"/>
      <c r="C209" s="399"/>
      <c r="D209" s="398"/>
      <c r="E209" s="397"/>
    </row>
    <row r="210" spans="1:5">
      <c r="A210" s="401"/>
      <c r="B210" s="400"/>
      <c r="C210" s="399"/>
      <c r="D210" s="398"/>
      <c r="E210" s="397"/>
    </row>
    <row r="211" spans="1:5">
      <c r="A211" s="401"/>
      <c r="B211" s="400"/>
      <c r="C211" s="399"/>
      <c r="D211" s="398"/>
      <c r="E211" s="397"/>
    </row>
    <row r="212" spans="1:5">
      <c r="A212" s="401"/>
      <c r="B212" s="400"/>
      <c r="C212" s="399"/>
      <c r="D212" s="398"/>
      <c r="E212" s="397"/>
    </row>
    <row r="213" spans="1:5">
      <c r="A213" s="401"/>
      <c r="B213" s="400"/>
      <c r="C213" s="399"/>
      <c r="D213" s="398"/>
      <c r="E213" s="397"/>
    </row>
    <row r="214" spans="1:5">
      <c r="A214" s="401"/>
      <c r="B214" s="400"/>
      <c r="C214" s="399"/>
      <c r="D214" s="398"/>
      <c r="E214" s="397"/>
    </row>
    <row r="215" spans="1:5">
      <c r="A215" s="401"/>
      <c r="B215" s="400"/>
      <c r="C215" s="399"/>
      <c r="D215" s="398"/>
      <c r="E215" s="397"/>
    </row>
    <row r="216" spans="1:5">
      <c r="A216" s="401"/>
      <c r="B216" s="400"/>
      <c r="C216" s="399"/>
      <c r="D216" s="398"/>
      <c r="E216" s="397"/>
    </row>
    <row r="217" spans="1:5">
      <c r="A217" s="401"/>
      <c r="B217" s="400"/>
      <c r="C217" s="399"/>
      <c r="D217" s="398"/>
      <c r="E217" s="397"/>
    </row>
    <row r="218" spans="1:5">
      <c r="A218" s="401"/>
      <c r="B218" s="400"/>
      <c r="C218" s="399"/>
      <c r="D218" s="398"/>
      <c r="E218" s="397"/>
    </row>
    <row r="219" spans="1:5">
      <c r="A219" s="401"/>
      <c r="B219" s="400"/>
      <c r="C219" s="399"/>
      <c r="D219" s="398"/>
      <c r="E219" s="397"/>
    </row>
    <row r="220" spans="1:5">
      <c r="A220" s="401"/>
      <c r="B220" s="400"/>
      <c r="C220" s="399"/>
      <c r="D220" s="398"/>
      <c r="E220" s="397"/>
    </row>
    <row r="221" spans="1:5">
      <c r="A221" s="401"/>
      <c r="B221" s="400"/>
      <c r="C221" s="399"/>
      <c r="D221" s="398"/>
      <c r="E221" s="397"/>
    </row>
    <row r="222" spans="1:5">
      <c r="A222" s="401"/>
      <c r="B222" s="400"/>
      <c r="C222" s="399"/>
      <c r="D222" s="398"/>
      <c r="E222" s="397"/>
    </row>
    <row r="223" spans="1:5">
      <c r="A223" s="401"/>
      <c r="B223" s="400"/>
      <c r="C223" s="399"/>
      <c r="D223" s="398"/>
      <c r="E223" s="397"/>
    </row>
    <row r="224" spans="1:5">
      <c r="A224" s="401"/>
      <c r="B224" s="400"/>
      <c r="C224" s="399"/>
      <c r="D224" s="398"/>
      <c r="E224" s="397"/>
    </row>
    <row r="225" spans="1:5">
      <c r="A225" s="401"/>
      <c r="B225" s="400"/>
      <c r="C225" s="399"/>
      <c r="D225" s="398"/>
      <c r="E225" s="397"/>
    </row>
    <row r="226" spans="1:5">
      <c r="A226" s="401"/>
      <c r="B226" s="400"/>
      <c r="C226" s="399"/>
      <c r="D226" s="398"/>
      <c r="E226" s="397"/>
    </row>
    <row r="227" spans="1:5">
      <c r="A227" s="401"/>
      <c r="B227" s="400"/>
      <c r="C227" s="399"/>
      <c r="D227" s="398"/>
      <c r="E227" s="397"/>
    </row>
    <row r="228" spans="1:5">
      <c r="A228" s="401"/>
      <c r="B228" s="400"/>
      <c r="C228" s="399"/>
      <c r="D228" s="398"/>
      <c r="E228" s="397"/>
    </row>
    <row r="229" spans="1:5">
      <c r="A229" s="401"/>
      <c r="B229" s="400"/>
      <c r="C229" s="399"/>
      <c r="D229" s="398"/>
      <c r="E229" s="397"/>
    </row>
    <row r="230" spans="1:5">
      <c r="A230" s="401"/>
      <c r="B230" s="400"/>
      <c r="C230" s="399"/>
      <c r="D230" s="398"/>
      <c r="E230" s="397"/>
    </row>
    <row r="231" spans="1:5">
      <c r="A231" s="401"/>
      <c r="B231" s="400"/>
      <c r="C231" s="399"/>
      <c r="D231" s="398"/>
      <c r="E231" s="397"/>
    </row>
    <row r="232" spans="1:5">
      <c r="A232" s="401"/>
      <c r="B232" s="400"/>
      <c r="C232" s="399"/>
      <c r="D232" s="398"/>
      <c r="E232" s="397"/>
    </row>
    <row r="233" spans="1:5">
      <c r="A233" s="401"/>
      <c r="B233" s="400"/>
      <c r="C233" s="399"/>
      <c r="D233" s="398"/>
      <c r="E233" s="397"/>
    </row>
    <row r="234" spans="1:5">
      <c r="A234" s="401"/>
      <c r="B234" s="400"/>
      <c r="C234" s="399"/>
      <c r="D234" s="398"/>
      <c r="E234" s="397"/>
    </row>
    <row r="235" spans="1:5">
      <c r="A235" s="401"/>
      <c r="B235" s="400"/>
      <c r="C235" s="399"/>
      <c r="D235" s="398"/>
      <c r="E235" s="397"/>
    </row>
    <row r="236" spans="1:5">
      <c r="A236" s="401"/>
      <c r="B236" s="400"/>
      <c r="C236" s="399"/>
      <c r="D236" s="398"/>
      <c r="E236" s="397"/>
    </row>
    <row r="237" spans="1:5">
      <c r="A237" s="401"/>
      <c r="B237" s="400"/>
      <c r="C237" s="399"/>
      <c r="D237" s="398"/>
      <c r="E237" s="397"/>
    </row>
    <row r="238" spans="1:5">
      <c r="A238" s="401"/>
      <c r="B238" s="400"/>
      <c r="C238" s="399"/>
      <c r="D238" s="398"/>
      <c r="E238" s="397"/>
    </row>
    <row r="239" spans="1:5">
      <c r="A239" s="401"/>
      <c r="B239" s="400"/>
      <c r="C239" s="399"/>
      <c r="D239" s="398"/>
      <c r="E239" s="397"/>
    </row>
    <row r="240" spans="1:5">
      <c r="A240" s="401"/>
      <c r="B240" s="400"/>
      <c r="C240" s="399"/>
      <c r="D240" s="398"/>
      <c r="E240" s="397"/>
    </row>
    <row r="241" spans="1:5">
      <c r="A241" s="401"/>
      <c r="B241" s="400"/>
      <c r="C241" s="399"/>
      <c r="D241" s="398"/>
      <c r="E241" s="397"/>
    </row>
    <row r="242" spans="1:5">
      <c r="A242" s="401"/>
      <c r="B242" s="400"/>
      <c r="C242" s="399"/>
      <c r="D242" s="398"/>
      <c r="E242" s="397"/>
    </row>
    <row r="243" spans="1:5">
      <c r="A243" s="401"/>
      <c r="B243" s="400"/>
      <c r="C243" s="399"/>
      <c r="D243" s="398"/>
      <c r="E243" s="397"/>
    </row>
    <row r="244" spans="1:5">
      <c r="A244" s="401"/>
      <c r="B244" s="400"/>
      <c r="C244" s="399"/>
      <c r="D244" s="398"/>
      <c r="E244" s="397"/>
    </row>
    <row r="245" spans="1:5">
      <c r="A245" s="401"/>
      <c r="B245" s="400"/>
      <c r="C245" s="399"/>
      <c r="D245" s="398"/>
      <c r="E245" s="397"/>
    </row>
    <row r="246" spans="1:5">
      <c r="A246" s="401"/>
      <c r="B246" s="400"/>
      <c r="C246" s="399"/>
      <c r="D246" s="398"/>
      <c r="E246" s="397"/>
    </row>
    <row r="247" spans="1:5">
      <c r="A247" s="401"/>
      <c r="B247" s="400"/>
      <c r="C247" s="399"/>
      <c r="D247" s="398"/>
      <c r="E247" s="397"/>
    </row>
    <row r="248" spans="1:5">
      <c r="A248" s="401"/>
      <c r="B248" s="400"/>
      <c r="C248" s="399"/>
      <c r="D248" s="398"/>
      <c r="E248" s="397"/>
    </row>
    <row r="249" spans="1:5">
      <c r="A249" s="401"/>
      <c r="B249" s="400"/>
      <c r="C249" s="399"/>
      <c r="D249" s="398"/>
      <c r="E249" s="397"/>
    </row>
    <row r="250" spans="1:5">
      <c r="A250" s="401"/>
      <c r="B250" s="400"/>
      <c r="C250" s="399"/>
      <c r="D250" s="398"/>
      <c r="E250" s="397"/>
    </row>
    <row r="251" spans="1:5">
      <c r="A251" s="401"/>
      <c r="B251" s="400"/>
      <c r="C251" s="399"/>
      <c r="D251" s="398"/>
      <c r="E251" s="397"/>
    </row>
    <row r="252" spans="1:5">
      <c r="A252" s="401"/>
      <c r="B252" s="400"/>
      <c r="C252" s="399"/>
      <c r="D252" s="398"/>
      <c r="E252" s="397"/>
    </row>
    <row r="253" spans="1:5">
      <c r="A253" s="401"/>
      <c r="B253" s="400"/>
      <c r="C253" s="399"/>
      <c r="D253" s="398"/>
      <c r="E253" s="397"/>
    </row>
    <row r="254" spans="1:5">
      <c r="A254" s="401"/>
      <c r="B254" s="400"/>
      <c r="C254" s="399"/>
      <c r="D254" s="398"/>
      <c r="E254" s="397"/>
    </row>
    <row r="255" spans="1:5">
      <c r="A255" s="401"/>
      <c r="B255" s="400"/>
      <c r="C255" s="399"/>
      <c r="D255" s="398"/>
      <c r="E255" s="397"/>
    </row>
    <row r="256" spans="1:5">
      <c r="A256" s="401"/>
      <c r="B256" s="400"/>
      <c r="C256" s="399"/>
      <c r="D256" s="398"/>
      <c r="E256" s="397"/>
    </row>
    <row r="257" spans="1:5">
      <c r="A257" s="401"/>
      <c r="B257" s="400"/>
      <c r="C257" s="399"/>
      <c r="D257" s="398"/>
      <c r="E257" s="397"/>
    </row>
    <row r="258" spans="1:5">
      <c r="A258" s="401"/>
      <c r="B258" s="400"/>
      <c r="C258" s="399"/>
      <c r="D258" s="398"/>
      <c r="E258" s="397"/>
    </row>
    <row r="259" spans="1:5">
      <c r="A259" s="401"/>
      <c r="B259" s="400"/>
      <c r="C259" s="399"/>
      <c r="D259" s="398"/>
      <c r="E259" s="397"/>
    </row>
    <row r="260" spans="1:5">
      <c r="A260" s="401"/>
      <c r="B260" s="400"/>
      <c r="C260" s="399"/>
      <c r="D260" s="398"/>
      <c r="E260" s="397"/>
    </row>
    <row r="261" spans="1:5">
      <c r="A261" s="401"/>
      <c r="B261" s="400"/>
      <c r="C261" s="399"/>
      <c r="D261" s="398"/>
      <c r="E261" s="397"/>
    </row>
    <row r="262" spans="1:5">
      <c r="A262" s="401"/>
      <c r="B262" s="400"/>
      <c r="C262" s="399"/>
      <c r="D262" s="398"/>
      <c r="E262" s="397"/>
    </row>
    <row r="263" spans="1:5">
      <c r="A263" s="401"/>
      <c r="B263" s="400"/>
      <c r="C263" s="399"/>
      <c r="D263" s="398"/>
      <c r="E263" s="397"/>
    </row>
    <row r="264" spans="1:5">
      <c r="A264" s="401"/>
      <c r="B264" s="400"/>
      <c r="C264" s="399"/>
      <c r="D264" s="398"/>
      <c r="E264" s="397"/>
    </row>
    <row r="265" spans="1:5">
      <c r="A265" s="401"/>
      <c r="B265" s="400"/>
      <c r="C265" s="399"/>
      <c r="D265" s="398"/>
      <c r="E265" s="397"/>
    </row>
    <row r="266" spans="1:5">
      <c r="A266" s="401"/>
      <c r="B266" s="400"/>
      <c r="C266" s="399"/>
      <c r="D266" s="398"/>
      <c r="E266" s="397"/>
    </row>
    <row r="267" spans="1:5">
      <c r="A267" s="401"/>
      <c r="B267" s="400"/>
      <c r="C267" s="399"/>
      <c r="D267" s="398"/>
      <c r="E267" s="397"/>
    </row>
    <row r="268" spans="1:5">
      <c r="A268" s="401"/>
      <c r="B268" s="400"/>
      <c r="C268" s="399"/>
      <c r="D268" s="398"/>
      <c r="E268" s="397"/>
    </row>
    <row r="269" spans="1:5">
      <c r="A269" s="401"/>
      <c r="B269" s="400"/>
      <c r="C269" s="399"/>
      <c r="D269" s="398"/>
      <c r="E269" s="397"/>
    </row>
    <row r="270" spans="1:5">
      <c r="A270" s="401"/>
      <c r="B270" s="400"/>
      <c r="C270" s="399"/>
      <c r="D270" s="398"/>
      <c r="E270" s="397"/>
    </row>
    <row r="271" spans="1:5">
      <c r="A271" s="401"/>
      <c r="B271" s="400"/>
      <c r="C271" s="399"/>
      <c r="D271" s="398"/>
      <c r="E271" s="397"/>
    </row>
    <row r="272" spans="1:5">
      <c r="A272" s="401"/>
      <c r="B272" s="400"/>
      <c r="C272" s="399"/>
      <c r="D272" s="398"/>
      <c r="E272" s="397"/>
    </row>
    <row r="273" spans="1:5">
      <c r="A273" s="401"/>
      <c r="B273" s="400"/>
      <c r="C273" s="399"/>
      <c r="D273" s="398"/>
      <c r="E273" s="397"/>
    </row>
    <row r="274" spans="1:5">
      <c r="A274" s="401"/>
      <c r="B274" s="400"/>
      <c r="C274" s="399"/>
      <c r="D274" s="398"/>
      <c r="E274" s="397"/>
    </row>
    <row r="275" spans="1:5">
      <c r="A275" s="401"/>
      <c r="B275" s="400"/>
      <c r="C275" s="399"/>
      <c r="D275" s="398"/>
      <c r="E275" s="397"/>
    </row>
    <row r="276" spans="1:5">
      <c r="A276" s="401"/>
      <c r="B276" s="400"/>
      <c r="C276" s="399"/>
      <c r="D276" s="398"/>
      <c r="E276" s="397"/>
    </row>
    <row r="277" spans="1:5">
      <c r="A277" s="401"/>
      <c r="B277" s="400"/>
      <c r="C277" s="399"/>
      <c r="D277" s="398"/>
      <c r="E277" s="397"/>
    </row>
    <row r="278" spans="1:5">
      <c r="A278" s="401"/>
      <c r="B278" s="400"/>
      <c r="C278" s="399"/>
      <c r="D278" s="398"/>
      <c r="E278" s="397"/>
    </row>
    <row r="279" spans="1:5">
      <c r="A279" s="401"/>
      <c r="B279" s="400"/>
      <c r="C279" s="399"/>
      <c r="D279" s="398"/>
      <c r="E279" s="397"/>
    </row>
    <row r="280" spans="1:5">
      <c r="A280" s="401"/>
      <c r="B280" s="400"/>
      <c r="C280" s="399"/>
      <c r="D280" s="398"/>
      <c r="E280" s="397"/>
    </row>
    <row r="281" spans="1:5">
      <c r="A281" s="401"/>
      <c r="B281" s="400"/>
      <c r="C281" s="399"/>
      <c r="D281" s="398"/>
      <c r="E281" s="397"/>
    </row>
    <row r="282" spans="1:5">
      <c r="A282" s="401"/>
      <c r="B282" s="400"/>
      <c r="C282" s="399"/>
      <c r="D282" s="398"/>
      <c r="E282" s="397"/>
    </row>
    <row r="283" spans="1:5">
      <c r="A283" s="401"/>
      <c r="B283" s="400"/>
      <c r="C283" s="399"/>
      <c r="D283" s="398"/>
      <c r="E283" s="397"/>
    </row>
    <row r="284" spans="1:5">
      <c r="A284" s="401"/>
      <c r="B284" s="400"/>
      <c r="C284" s="399"/>
      <c r="D284" s="398"/>
      <c r="E284" s="397"/>
    </row>
    <row r="285" spans="1:5">
      <c r="A285" s="401"/>
      <c r="B285" s="400"/>
      <c r="C285" s="399"/>
      <c r="D285" s="398"/>
      <c r="E285" s="397"/>
    </row>
    <row r="286" spans="1:5">
      <c r="A286" s="401"/>
      <c r="B286" s="400"/>
      <c r="C286" s="399"/>
      <c r="D286" s="398"/>
      <c r="E286" s="397"/>
    </row>
    <row r="287" spans="1:5">
      <c r="A287" s="401"/>
      <c r="B287" s="400"/>
      <c r="C287" s="399"/>
      <c r="D287" s="398"/>
      <c r="E287" s="397"/>
    </row>
    <row r="288" spans="1:5">
      <c r="A288" s="401"/>
      <c r="B288" s="400"/>
      <c r="C288" s="399"/>
      <c r="D288" s="398"/>
      <c r="E288" s="397"/>
    </row>
    <row r="289" spans="1:5">
      <c r="A289" s="401"/>
      <c r="B289" s="400"/>
      <c r="C289" s="399"/>
      <c r="D289" s="398"/>
      <c r="E289" s="397"/>
    </row>
    <row r="290" spans="1:5">
      <c r="A290" s="401"/>
      <c r="B290" s="400"/>
      <c r="C290" s="399"/>
      <c r="D290" s="398"/>
      <c r="E290" s="397"/>
    </row>
    <row r="291" spans="1:5">
      <c r="A291" s="401"/>
      <c r="B291" s="400"/>
      <c r="C291" s="399"/>
      <c r="D291" s="398"/>
      <c r="E291" s="397"/>
    </row>
    <row r="292" spans="1:5">
      <c r="A292" s="401"/>
      <c r="B292" s="400"/>
      <c r="C292" s="399"/>
      <c r="D292" s="398"/>
      <c r="E292" s="397"/>
    </row>
    <row r="293" spans="1:5">
      <c r="A293" s="401"/>
      <c r="B293" s="400"/>
      <c r="C293" s="399"/>
      <c r="D293" s="398"/>
      <c r="E293" s="397"/>
    </row>
    <row r="294" spans="1:5">
      <c r="A294" s="401"/>
      <c r="B294" s="400"/>
      <c r="C294" s="399"/>
      <c r="D294" s="398"/>
      <c r="E294" s="397"/>
    </row>
    <row r="295" spans="1:5">
      <c r="A295" s="401"/>
      <c r="B295" s="400"/>
      <c r="C295" s="399"/>
      <c r="D295" s="398"/>
      <c r="E295" s="397"/>
    </row>
    <row r="296" spans="1:5">
      <c r="A296" s="401"/>
      <c r="B296" s="400"/>
      <c r="C296" s="399"/>
      <c r="D296" s="398"/>
      <c r="E296" s="397"/>
    </row>
    <row r="297" spans="1:5">
      <c r="A297" s="401"/>
      <c r="B297" s="400"/>
      <c r="C297" s="399"/>
      <c r="D297" s="398"/>
      <c r="E297" s="397"/>
    </row>
    <row r="298" spans="1:5">
      <c r="A298" s="401"/>
      <c r="B298" s="400"/>
      <c r="C298" s="399"/>
      <c r="D298" s="398"/>
      <c r="E298" s="397"/>
    </row>
    <row r="299" spans="1:5">
      <c r="A299" s="401"/>
      <c r="B299" s="400"/>
      <c r="C299" s="399"/>
      <c r="D299" s="398"/>
      <c r="E299" s="397"/>
    </row>
    <row r="300" spans="1:5">
      <c r="A300" s="401"/>
      <c r="B300" s="400"/>
      <c r="C300" s="399"/>
      <c r="D300" s="398"/>
      <c r="E300" s="397"/>
    </row>
    <row r="301" spans="1:5">
      <c r="A301" s="401"/>
      <c r="B301" s="400"/>
      <c r="C301" s="399"/>
      <c r="D301" s="398"/>
      <c r="E301" s="397"/>
    </row>
    <row r="302" spans="1:5">
      <c r="A302" s="401"/>
      <c r="B302" s="400"/>
      <c r="C302" s="399"/>
      <c r="D302" s="398"/>
      <c r="E302" s="397"/>
    </row>
    <row r="303" spans="1:5">
      <c r="A303" s="401"/>
      <c r="B303" s="400"/>
      <c r="C303" s="399"/>
      <c r="D303" s="398"/>
      <c r="E303" s="397"/>
    </row>
    <row r="304" spans="1:5">
      <c r="A304" s="401"/>
      <c r="B304" s="400"/>
      <c r="C304" s="399"/>
      <c r="D304" s="398"/>
      <c r="E304" s="397"/>
    </row>
    <row r="305" spans="1:5">
      <c r="A305" s="401"/>
      <c r="B305" s="400"/>
      <c r="C305" s="399"/>
      <c r="D305" s="398"/>
      <c r="E305" s="397"/>
    </row>
    <row r="306" spans="1:5">
      <c r="A306" s="401"/>
      <c r="B306" s="400"/>
      <c r="C306" s="399"/>
      <c r="D306" s="398"/>
      <c r="E306" s="397"/>
    </row>
    <row r="307" spans="1:5">
      <c r="A307" s="401"/>
      <c r="B307" s="400"/>
      <c r="C307" s="399"/>
      <c r="D307" s="398"/>
      <c r="E307" s="397"/>
    </row>
    <row r="308" spans="1:5">
      <c r="A308" s="401"/>
      <c r="B308" s="400"/>
      <c r="C308" s="399"/>
      <c r="D308" s="398"/>
      <c r="E308" s="397"/>
    </row>
    <row r="309" spans="1:5">
      <c r="A309" s="401"/>
      <c r="B309" s="400"/>
      <c r="C309" s="399"/>
      <c r="D309" s="398"/>
      <c r="E309" s="397"/>
    </row>
    <row r="310" spans="1:5">
      <c r="A310" s="401"/>
      <c r="B310" s="400"/>
      <c r="C310" s="399"/>
      <c r="D310" s="398"/>
      <c r="E310" s="397"/>
    </row>
    <row r="311" spans="1:5">
      <c r="A311" s="401"/>
      <c r="B311" s="400"/>
      <c r="C311" s="399"/>
      <c r="D311" s="398"/>
      <c r="E311" s="397"/>
    </row>
    <row r="312" spans="1:5">
      <c r="A312" s="401"/>
      <c r="B312" s="400"/>
      <c r="C312" s="399"/>
      <c r="D312" s="398"/>
      <c r="E312" s="397"/>
    </row>
    <row r="313" spans="1:5">
      <c r="A313" s="401"/>
      <c r="B313" s="400"/>
      <c r="C313" s="399"/>
      <c r="D313" s="398"/>
      <c r="E313" s="397"/>
    </row>
    <row r="314" spans="1:5">
      <c r="A314" s="401"/>
      <c r="B314" s="400"/>
      <c r="C314" s="399"/>
      <c r="D314" s="398"/>
      <c r="E314" s="397"/>
    </row>
    <row r="315" spans="1:5">
      <c r="A315" s="401"/>
      <c r="B315" s="400"/>
      <c r="C315" s="399"/>
      <c r="D315" s="398"/>
      <c r="E315" s="397"/>
    </row>
    <row r="316" spans="1:5">
      <c r="A316" s="401"/>
      <c r="B316" s="400"/>
      <c r="C316" s="399"/>
      <c r="D316" s="398"/>
      <c r="E316" s="397"/>
    </row>
    <row r="317" spans="1:5">
      <c r="A317" s="401"/>
      <c r="B317" s="400"/>
      <c r="C317" s="399"/>
      <c r="D317" s="398"/>
      <c r="E317" s="397"/>
    </row>
    <row r="318" spans="1:5">
      <c r="A318" s="401"/>
      <c r="B318" s="400"/>
      <c r="C318" s="399"/>
      <c r="D318" s="398"/>
      <c r="E318" s="397"/>
    </row>
    <row r="319" spans="1:5">
      <c r="A319" s="401"/>
      <c r="B319" s="400"/>
      <c r="C319" s="399"/>
      <c r="D319" s="398"/>
      <c r="E319" s="397"/>
    </row>
    <row r="320" spans="1:5">
      <c r="A320" s="401"/>
      <c r="B320" s="400"/>
      <c r="C320" s="399"/>
      <c r="D320" s="398"/>
      <c r="E320" s="397"/>
    </row>
    <row r="321" spans="1:5">
      <c r="A321" s="401"/>
      <c r="B321" s="400"/>
      <c r="C321" s="399"/>
      <c r="D321" s="398"/>
      <c r="E321" s="397"/>
    </row>
    <row r="322" spans="1:5">
      <c r="A322" s="401"/>
      <c r="B322" s="400"/>
      <c r="C322" s="399"/>
      <c r="D322" s="398"/>
      <c r="E322" s="397"/>
    </row>
    <row r="323" spans="1:5">
      <c r="A323" s="401"/>
      <c r="B323" s="400"/>
      <c r="C323" s="399"/>
      <c r="D323" s="398"/>
      <c r="E323" s="397"/>
    </row>
    <row r="324" spans="1:5">
      <c r="A324" s="401"/>
      <c r="B324" s="400"/>
      <c r="C324" s="399"/>
      <c r="D324" s="398"/>
      <c r="E324" s="397"/>
    </row>
    <row r="325" spans="1:5">
      <c r="A325" s="401"/>
      <c r="B325" s="400"/>
      <c r="C325" s="399"/>
      <c r="D325" s="398"/>
      <c r="E325" s="397"/>
    </row>
    <row r="326" spans="1:5">
      <c r="A326" s="401"/>
      <c r="B326" s="400"/>
      <c r="C326" s="399"/>
      <c r="D326" s="398"/>
      <c r="E326" s="397"/>
    </row>
    <row r="327" spans="1:5">
      <c r="A327" s="401"/>
      <c r="B327" s="400"/>
      <c r="C327" s="399"/>
      <c r="D327" s="398"/>
      <c r="E327" s="397"/>
    </row>
    <row r="328" spans="1:5">
      <c r="A328" s="401"/>
      <c r="B328" s="400"/>
      <c r="C328" s="399"/>
      <c r="D328" s="398"/>
      <c r="E328" s="397"/>
    </row>
    <row r="329" spans="1:5">
      <c r="A329" s="401"/>
      <c r="B329" s="400"/>
      <c r="C329" s="399"/>
      <c r="D329" s="398"/>
      <c r="E329" s="397"/>
    </row>
    <row r="330" spans="1:5">
      <c r="A330" s="401"/>
      <c r="B330" s="400"/>
      <c r="C330" s="399"/>
      <c r="D330" s="398"/>
      <c r="E330" s="397"/>
    </row>
    <row r="331" spans="1:5">
      <c r="A331" s="401"/>
      <c r="B331" s="400"/>
      <c r="C331" s="399"/>
      <c r="D331" s="398"/>
      <c r="E331" s="397"/>
    </row>
    <row r="332" spans="1:5">
      <c r="A332" s="401"/>
      <c r="B332" s="400"/>
      <c r="C332" s="399"/>
      <c r="D332" s="398"/>
      <c r="E332" s="397"/>
    </row>
    <row r="333" spans="1:5">
      <c r="A333" s="401"/>
      <c r="B333" s="400"/>
      <c r="C333" s="399"/>
      <c r="D333" s="398"/>
      <c r="E333" s="397"/>
    </row>
    <row r="334" spans="1:5">
      <c r="A334" s="401"/>
      <c r="B334" s="400"/>
      <c r="C334" s="399"/>
      <c r="D334" s="398"/>
      <c r="E334" s="397"/>
    </row>
    <row r="335" spans="1:5">
      <c r="A335" s="401"/>
      <c r="B335" s="400"/>
      <c r="C335" s="399"/>
      <c r="D335" s="398"/>
      <c r="E335" s="397"/>
    </row>
    <row r="336" spans="1:5">
      <c r="A336" s="401"/>
      <c r="B336" s="400"/>
      <c r="C336" s="399"/>
      <c r="D336" s="398"/>
      <c r="E336" s="397"/>
    </row>
    <row r="337" spans="1:5">
      <c r="A337" s="401"/>
      <c r="B337" s="400"/>
      <c r="C337" s="399"/>
      <c r="D337" s="398"/>
      <c r="E337" s="397"/>
    </row>
    <row r="338" spans="1:5">
      <c r="A338" s="401"/>
      <c r="B338" s="400"/>
      <c r="C338" s="399"/>
      <c r="D338" s="398"/>
      <c r="E338" s="397"/>
    </row>
    <row r="339" spans="1:5">
      <c r="A339" s="401"/>
      <c r="B339" s="400"/>
      <c r="C339" s="399"/>
      <c r="D339" s="398"/>
      <c r="E339" s="397"/>
    </row>
    <row r="340" spans="1:5">
      <c r="A340" s="401"/>
      <c r="B340" s="400"/>
      <c r="C340" s="399"/>
      <c r="D340" s="398"/>
      <c r="E340" s="397"/>
    </row>
    <row r="341" spans="1:5">
      <c r="A341" s="401"/>
      <c r="B341" s="400"/>
      <c r="C341" s="399"/>
      <c r="D341" s="398"/>
      <c r="E341" s="397"/>
    </row>
    <row r="342" spans="1:5">
      <c r="A342" s="401"/>
      <c r="B342" s="400"/>
      <c r="C342" s="399"/>
      <c r="D342" s="398"/>
      <c r="E342" s="397"/>
    </row>
    <row r="343" spans="1:5">
      <c r="A343" s="401"/>
      <c r="B343" s="400"/>
      <c r="C343" s="399"/>
      <c r="D343" s="398"/>
      <c r="E343" s="397"/>
    </row>
    <row r="344" spans="1:5">
      <c r="A344" s="401"/>
      <c r="B344" s="400"/>
      <c r="C344" s="399"/>
      <c r="D344" s="398"/>
      <c r="E344" s="397"/>
    </row>
    <row r="345" spans="1:5">
      <c r="A345" s="401"/>
      <c r="B345" s="400"/>
      <c r="C345" s="399"/>
      <c r="D345" s="398"/>
      <c r="E345" s="397"/>
    </row>
    <row r="346" spans="1:5">
      <c r="A346" s="401"/>
      <c r="B346" s="400"/>
      <c r="C346" s="399"/>
      <c r="D346" s="398"/>
      <c r="E346" s="397"/>
    </row>
    <row r="347" spans="1:5">
      <c r="A347" s="401"/>
      <c r="B347" s="400"/>
      <c r="C347" s="399"/>
      <c r="D347" s="398"/>
      <c r="E347" s="397"/>
    </row>
    <row r="348" spans="1:5">
      <c r="A348" s="401"/>
      <c r="B348" s="400"/>
      <c r="C348" s="399"/>
      <c r="D348" s="398"/>
      <c r="E348" s="397"/>
    </row>
    <row r="349" spans="1:5">
      <c r="A349" s="401"/>
      <c r="B349" s="400"/>
      <c r="C349" s="399"/>
      <c r="D349" s="398"/>
      <c r="E349" s="397"/>
    </row>
    <row r="350" spans="1:5">
      <c r="A350" s="401"/>
      <c r="B350" s="400"/>
      <c r="C350" s="399"/>
      <c r="D350" s="398"/>
      <c r="E350" s="397"/>
    </row>
    <row r="351" spans="1:5">
      <c r="A351" s="401"/>
      <c r="B351" s="400"/>
      <c r="C351" s="399"/>
      <c r="D351" s="398"/>
      <c r="E351" s="397"/>
    </row>
    <row r="352" spans="1:5">
      <c r="A352" s="401"/>
      <c r="B352" s="400"/>
      <c r="C352" s="399"/>
      <c r="D352" s="398"/>
      <c r="E352" s="397"/>
    </row>
    <row r="353" spans="1:5">
      <c r="A353" s="401"/>
      <c r="B353" s="400"/>
      <c r="C353" s="399"/>
      <c r="D353" s="398"/>
      <c r="E353" s="397"/>
    </row>
    <row r="354" spans="1:5">
      <c r="A354" s="401"/>
      <c r="B354" s="400"/>
      <c r="C354" s="399"/>
      <c r="D354" s="398"/>
      <c r="E354" s="397"/>
    </row>
    <row r="355" spans="1:5">
      <c r="A355" s="401"/>
      <c r="B355" s="400"/>
      <c r="C355" s="399"/>
      <c r="D355" s="398"/>
      <c r="E355" s="397"/>
    </row>
    <row r="356" spans="1:5">
      <c r="A356" s="401"/>
      <c r="B356" s="400"/>
      <c r="C356" s="399"/>
      <c r="D356" s="398"/>
      <c r="E356" s="397"/>
    </row>
    <row r="357" spans="1:5">
      <c r="A357" s="401"/>
      <c r="B357" s="400"/>
      <c r="C357" s="399"/>
      <c r="D357" s="398"/>
      <c r="E357" s="397"/>
    </row>
    <row r="358" spans="1:5">
      <c r="A358" s="401"/>
      <c r="B358" s="400"/>
      <c r="C358" s="399"/>
      <c r="D358" s="398"/>
      <c r="E358" s="397"/>
    </row>
    <row r="359" spans="1:5">
      <c r="A359" s="401"/>
      <c r="B359" s="400"/>
      <c r="C359" s="399"/>
      <c r="D359" s="398"/>
      <c r="E359" s="397"/>
    </row>
    <row r="360" spans="1:5">
      <c r="A360" s="401"/>
      <c r="B360" s="400"/>
      <c r="C360" s="399"/>
      <c r="D360" s="398"/>
      <c r="E360" s="397"/>
    </row>
    <row r="361" spans="1:5">
      <c r="A361" s="401"/>
      <c r="B361" s="400"/>
      <c r="C361" s="399"/>
      <c r="D361" s="398"/>
      <c r="E361" s="397"/>
    </row>
    <row r="362" spans="1:5">
      <c r="A362" s="401"/>
      <c r="B362" s="400"/>
      <c r="C362" s="399"/>
      <c r="D362" s="398"/>
      <c r="E362" s="397"/>
    </row>
    <row r="363" spans="1:5">
      <c r="A363" s="401"/>
      <c r="B363" s="400"/>
      <c r="C363" s="399"/>
      <c r="D363" s="398"/>
      <c r="E363" s="397"/>
    </row>
    <row r="364" spans="1:5">
      <c r="A364" s="401"/>
      <c r="B364" s="400"/>
      <c r="C364" s="399"/>
      <c r="D364" s="398"/>
      <c r="E364" s="397"/>
    </row>
    <row r="365" spans="1:5">
      <c r="A365" s="401"/>
      <c r="B365" s="400"/>
      <c r="C365" s="399"/>
      <c r="D365" s="398"/>
      <c r="E365" s="397"/>
    </row>
    <row r="366" spans="1:5">
      <c r="A366" s="401"/>
      <c r="B366" s="400"/>
      <c r="C366" s="399"/>
      <c r="D366" s="398"/>
      <c r="E366" s="397"/>
    </row>
    <row r="367" spans="1:5">
      <c r="A367" s="401"/>
      <c r="B367" s="400"/>
      <c r="C367" s="399"/>
      <c r="D367" s="398"/>
      <c r="E367" s="397"/>
    </row>
    <row r="368" spans="1:5">
      <c r="A368" s="401"/>
      <c r="B368" s="400"/>
      <c r="C368" s="399"/>
      <c r="D368" s="398"/>
      <c r="E368" s="397"/>
    </row>
    <row r="369" spans="1:5">
      <c r="A369" s="401"/>
      <c r="B369" s="400"/>
      <c r="C369" s="399"/>
      <c r="D369" s="398"/>
      <c r="E369" s="397"/>
    </row>
    <row r="370" spans="1:5">
      <c r="A370" s="401"/>
      <c r="B370" s="400"/>
      <c r="C370" s="399"/>
      <c r="D370" s="398"/>
      <c r="E370" s="397"/>
    </row>
    <row r="371" spans="1:5">
      <c r="A371" s="401"/>
      <c r="B371" s="400"/>
      <c r="C371" s="399"/>
      <c r="D371" s="398"/>
      <c r="E371" s="397"/>
    </row>
    <row r="372" spans="1:5">
      <c r="A372" s="401"/>
      <c r="B372" s="400"/>
      <c r="C372" s="399"/>
      <c r="D372" s="398"/>
      <c r="E372" s="397"/>
    </row>
    <row r="373" spans="1:5">
      <c r="A373" s="401"/>
      <c r="B373" s="400"/>
      <c r="C373" s="399"/>
      <c r="D373" s="398"/>
      <c r="E373" s="397"/>
    </row>
    <row r="374" spans="1:5">
      <c r="A374" s="401"/>
      <c r="B374" s="400"/>
      <c r="C374" s="399"/>
      <c r="D374" s="398"/>
      <c r="E374" s="397"/>
    </row>
    <row r="375" spans="1:5">
      <c r="A375" s="401"/>
      <c r="B375" s="400"/>
      <c r="C375" s="399"/>
      <c r="D375" s="398"/>
      <c r="E375" s="397"/>
    </row>
    <row r="376" spans="1:5">
      <c r="A376" s="401"/>
      <c r="B376" s="400"/>
      <c r="C376" s="399"/>
      <c r="D376" s="398"/>
      <c r="E376" s="397"/>
    </row>
    <row r="377" spans="1:5">
      <c r="A377" s="401"/>
      <c r="B377" s="400"/>
      <c r="C377" s="399"/>
      <c r="D377" s="398"/>
      <c r="E377" s="397"/>
    </row>
    <row r="378" spans="1:5">
      <c r="A378" s="401"/>
      <c r="B378" s="400"/>
      <c r="C378" s="399"/>
      <c r="D378" s="398"/>
      <c r="E378" s="397"/>
    </row>
    <row r="379" spans="1:5">
      <c r="A379" s="401"/>
      <c r="B379" s="400"/>
      <c r="C379" s="399"/>
      <c r="D379" s="398"/>
      <c r="E379" s="397"/>
    </row>
    <row r="380" spans="1:5">
      <c r="A380" s="401"/>
      <c r="B380" s="400"/>
      <c r="C380" s="399"/>
      <c r="D380" s="398"/>
      <c r="E380" s="397"/>
    </row>
    <row r="381" spans="1:5">
      <c r="A381" s="401"/>
      <c r="B381" s="400"/>
      <c r="C381" s="399"/>
      <c r="D381" s="398"/>
      <c r="E381" s="397"/>
    </row>
    <row r="382" spans="1:5">
      <c r="A382" s="401"/>
      <c r="B382" s="400"/>
      <c r="C382" s="399"/>
      <c r="D382" s="398"/>
      <c r="E382" s="397"/>
    </row>
    <row r="383" spans="1:5">
      <c r="A383" s="401"/>
      <c r="B383" s="400"/>
      <c r="C383" s="399"/>
      <c r="D383" s="398"/>
      <c r="E383" s="397"/>
    </row>
    <row r="384" spans="1:5">
      <c r="A384" s="401"/>
      <c r="B384" s="400"/>
      <c r="C384" s="399"/>
      <c r="D384" s="398"/>
      <c r="E384" s="397"/>
    </row>
    <row r="385" spans="1:5">
      <c r="A385" s="401"/>
      <c r="B385" s="400"/>
      <c r="C385" s="399"/>
      <c r="D385" s="398"/>
      <c r="E385" s="397"/>
    </row>
    <row r="386" spans="1:5">
      <c r="A386" s="401"/>
      <c r="B386" s="400"/>
      <c r="C386" s="399"/>
      <c r="D386" s="398"/>
      <c r="E386" s="397"/>
    </row>
    <row r="387" spans="1:5">
      <c r="A387" s="401"/>
      <c r="B387" s="400"/>
      <c r="C387" s="399"/>
      <c r="D387" s="398"/>
      <c r="E387" s="397"/>
    </row>
    <row r="388" spans="1:5">
      <c r="A388" s="401"/>
      <c r="B388" s="400"/>
      <c r="C388" s="399"/>
      <c r="D388" s="398"/>
      <c r="E388" s="397"/>
    </row>
    <row r="389" spans="1:5">
      <c r="A389" s="401"/>
      <c r="B389" s="400"/>
      <c r="C389" s="399"/>
      <c r="D389" s="398"/>
      <c r="E389" s="397"/>
    </row>
    <row r="390" spans="1:5">
      <c r="A390" s="401"/>
      <c r="B390" s="400"/>
      <c r="C390" s="399"/>
      <c r="D390" s="398"/>
      <c r="E390" s="397"/>
    </row>
    <row r="391" spans="1:5">
      <c r="A391" s="401"/>
      <c r="B391" s="400"/>
      <c r="C391" s="399"/>
      <c r="D391" s="398"/>
      <c r="E391" s="397"/>
    </row>
    <row r="392" spans="1:5">
      <c r="A392" s="401"/>
      <c r="B392" s="400"/>
      <c r="C392" s="399"/>
      <c r="D392" s="398"/>
      <c r="E392" s="397"/>
    </row>
    <row r="393" spans="1:5">
      <c r="A393" s="401"/>
      <c r="B393" s="400"/>
      <c r="C393" s="399"/>
      <c r="D393" s="398"/>
      <c r="E393" s="397"/>
    </row>
    <row r="394" spans="1:5">
      <c r="A394" s="401"/>
      <c r="B394" s="400"/>
      <c r="C394" s="399"/>
      <c r="D394" s="398"/>
      <c r="E394" s="397"/>
    </row>
    <row r="395" spans="1:5">
      <c r="A395" s="401"/>
      <c r="B395" s="400"/>
      <c r="C395" s="399"/>
      <c r="D395" s="398"/>
      <c r="E395" s="397"/>
    </row>
    <row r="396" spans="1:5">
      <c r="A396" s="401"/>
      <c r="B396" s="400"/>
      <c r="C396" s="399"/>
      <c r="D396" s="398"/>
      <c r="E396" s="397"/>
    </row>
    <row r="397" spans="1:5">
      <c r="A397" s="401"/>
      <c r="B397" s="400"/>
      <c r="C397" s="399"/>
      <c r="D397" s="398"/>
      <c r="E397" s="397"/>
    </row>
    <row r="398" spans="1:5">
      <c r="A398" s="401"/>
      <c r="B398" s="400"/>
      <c r="C398" s="399"/>
      <c r="D398" s="398"/>
      <c r="E398" s="397"/>
    </row>
    <row r="399" spans="1:5">
      <c r="A399" s="401"/>
      <c r="B399" s="400"/>
      <c r="C399" s="399"/>
      <c r="D399" s="398"/>
      <c r="E399" s="397"/>
    </row>
    <row r="400" spans="1:5">
      <c r="A400" s="401"/>
      <c r="B400" s="400"/>
      <c r="C400" s="399"/>
      <c r="D400" s="398"/>
      <c r="E400" s="397"/>
    </row>
    <row r="401" spans="1:5">
      <c r="A401" s="401"/>
      <c r="B401" s="400"/>
      <c r="C401" s="399"/>
      <c r="D401" s="398"/>
      <c r="E401" s="397"/>
    </row>
    <row r="402" spans="1:5">
      <c r="A402" s="401"/>
      <c r="B402" s="400"/>
      <c r="C402" s="399"/>
      <c r="D402" s="398"/>
      <c r="E402" s="397"/>
    </row>
    <row r="403" spans="1:5">
      <c r="A403" s="401"/>
      <c r="B403" s="400"/>
      <c r="C403" s="399"/>
      <c r="D403" s="398"/>
      <c r="E403" s="397"/>
    </row>
    <row r="404" spans="1:5">
      <c r="A404" s="401"/>
      <c r="B404" s="400"/>
      <c r="C404" s="399"/>
      <c r="D404" s="398"/>
      <c r="E404" s="397"/>
    </row>
    <row r="405" spans="1:5">
      <c r="A405" s="401"/>
      <c r="B405" s="400"/>
      <c r="C405" s="399"/>
      <c r="D405" s="398"/>
      <c r="E405" s="397"/>
    </row>
    <row r="406" spans="1:5">
      <c r="A406" s="401"/>
      <c r="B406" s="400"/>
      <c r="C406" s="399"/>
      <c r="D406" s="398"/>
      <c r="E406" s="397"/>
    </row>
    <row r="407" spans="1:5">
      <c r="A407" s="401"/>
      <c r="B407" s="400"/>
      <c r="C407" s="399"/>
      <c r="D407" s="398"/>
      <c r="E407" s="397"/>
    </row>
    <row r="408" spans="1:5">
      <c r="A408" s="401"/>
      <c r="B408" s="400"/>
      <c r="C408" s="399"/>
      <c r="D408" s="398"/>
      <c r="E408" s="397"/>
    </row>
    <row r="409" spans="1:5">
      <c r="A409" s="401"/>
      <c r="B409" s="400"/>
      <c r="C409" s="399"/>
      <c r="D409" s="398"/>
      <c r="E409" s="397"/>
    </row>
    <row r="410" spans="1:5">
      <c r="A410" s="401"/>
      <c r="B410" s="400"/>
      <c r="C410" s="399"/>
      <c r="D410" s="398"/>
      <c r="E410" s="397"/>
    </row>
    <row r="411" spans="1:5">
      <c r="A411" s="401"/>
      <c r="B411" s="400"/>
      <c r="C411" s="399"/>
      <c r="D411" s="398"/>
      <c r="E411" s="397"/>
    </row>
    <row r="412" spans="1:5">
      <c r="A412" s="401"/>
      <c r="B412" s="400"/>
      <c r="C412" s="399"/>
      <c r="D412" s="398"/>
      <c r="E412" s="397"/>
    </row>
    <row r="413" spans="1:5">
      <c r="A413" s="401"/>
      <c r="B413" s="400"/>
      <c r="C413" s="399"/>
      <c r="D413" s="398"/>
      <c r="E413" s="397"/>
    </row>
    <row r="414" spans="1:5">
      <c r="A414" s="401"/>
      <c r="B414" s="400"/>
      <c r="C414" s="399"/>
      <c r="D414" s="398"/>
      <c r="E414" s="397"/>
    </row>
    <row r="415" spans="1:5">
      <c r="A415" s="401"/>
      <c r="B415" s="400"/>
      <c r="C415" s="399"/>
      <c r="D415" s="398"/>
      <c r="E415" s="397"/>
    </row>
    <row r="416" spans="1:5">
      <c r="A416" s="401"/>
      <c r="B416" s="400"/>
      <c r="C416" s="399"/>
      <c r="D416" s="398"/>
      <c r="E416" s="397"/>
    </row>
    <row r="417" spans="1:5">
      <c r="A417" s="401"/>
      <c r="B417" s="400"/>
      <c r="C417" s="399"/>
      <c r="D417" s="398"/>
      <c r="E417" s="397"/>
    </row>
    <row r="418" spans="1:5">
      <c r="A418" s="401"/>
      <c r="B418" s="400"/>
      <c r="C418" s="399"/>
      <c r="D418" s="398"/>
      <c r="E418" s="397"/>
    </row>
    <row r="419" spans="1:5">
      <c r="A419" s="401"/>
      <c r="B419" s="400"/>
      <c r="C419" s="399"/>
      <c r="D419" s="398"/>
      <c r="E419" s="397"/>
    </row>
    <row r="420" spans="1:5">
      <c r="A420" s="401"/>
      <c r="B420" s="400"/>
      <c r="C420" s="399"/>
      <c r="D420" s="398"/>
      <c r="E420" s="397"/>
    </row>
    <row r="421" spans="1:5">
      <c r="A421" s="401"/>
      <c r="B421" s="400"/>
      <c r="C421" s="399"/>
      <c r="D421" s="398"/>
      <c r="E421" s="397"/>
    </row>
    <row r="422" spans="1:5">
      <c r="A422" s="401"/>
      <c r="B422" s="400"/>
      <c r="C422" s="399"/>
      <c r="D422" s="398"/>
      <c r="E422" s="397"/>
    </row>
    <row r="423" spans="1:5">
      <c r="A423" s="401"/>
      <c r="B423" s="400"/>
      <c r="C423" s="399"/>
      <c r="D423" s="398"/>
      <c r="E423" s="397"/>
    </row>
    <row r="424" spans="1:5">
      <c r="A424" s="401"/>
      <c r="B424" s="400"/>
      <c r="C424" s="399"/>
      <c r="D424" s="398"/>
      <c r="E424" s="397"/>
    </row>
    <row r="425" spans="1:5">
      <c r="A425" s="401"/>
      <c r="B425" s="400"/>
      <c r="C425" s="399"/>
      <c r="D425" s="398"/>
      <c r="E425" s="397"/>
    </row>
    <row r="426" spans="1:5">
      <c r="A426" s="401"/>
      <c r="B426" s="400"/>
      <c r="C426" s="399"/>
      <c r="D426" s="398"/>
      <c r="E426" s="397"/>
    </row>
    <row r="427" spans="1:5">
      <c r="A427" s="401"/>
      <c r="B427" s="400"/>
      <c r="C427" s="399"/>
      <c r="D427" s="398"/>
      <c r="E427" s="397"/>
    </row>
    <row r="428" spans="1:5">
      <c r="A428" s="401"/>
      <c r="B428" s="400"/>
      <c r="C428" s="399"/>
      <c r="D428" s="398"/>
      <c r="E428" s="397"/>
    </row>
    <row r="429" spans="1:5">
      <c r="A429" s="401"/>
      <c r="B429" s="400"/>
      <c r="C429" s="399"/>
      <c r="D429" s="398"/>
      <c r="E429" s="397"/>
    </row>
    <row r="430" spans="1:5">
      <c r="A430" s="401"/>
      <c r="B430" s="400"/>
      <c r="C430" s="399"/>
      <c r="D430" s="398"/>
      <c r="E430" s="397"/>
    </row>
    <row r="431" spans="1:5">
      <c r="A431" s="401"/>
      <c r="B431" s="400"/>
      <c r="C431" s="399"/>
      <c r="D431" s="398"/>
      <c r="E431" s="397"/>
    </row>
    <row r="432" spans="1:5">
      <c r="A432" s="401"/>
      <c r="B432" s="400"/>
      <c r="C432" s="399"/>
      <c r="D432" s="398"/>
      <c r="E432" s="397"/>
    </row>
    <row r="433" spans="1:5">
      <c r="A433" s="401"/>
      <c r="B433" s="400"/>
      <c r="C433" s="399"/>
      <c r="D433" s="398"/>
      <c r="E433" s="397"/>
    </row>
    <row r="434" spans="1:5">
      <c r="A434" s="401"/>
      <c r="B434" s="400"/>
      <c r="C434" s="399"/>
      <c r="D434" s="398"/>
      <c r="E434" s="397"/>
    </row>
    <row r="435" spans="1:5">
      <c r="A435" s="401"/>
      <c r="B435" s="400"/>
      <c r="C435" s="399"/>
      <c r="D435" s="398"/>
      <c r="E435" s="397"/>
    </row>
    <row r="436" spans="1:5">
      <c r="A436" s="401"/>
      <c r="B436" s="400"/>
      <c r="C436" s="399"/>
      <c r="D436" s="398"/>
      <c r="E436" s="397"/>
    </row>
    <row r="437" spans="1:5">
      <c r="A437" s="401"/>
      <c r="B437" s="400"/>
      <c r="C437" s="399"/>
      <c r="D437" s="398"/>
      <c r="E437" s="397"/>
    </row>
    <row r="438" spans="1:5">
      <c r="A438" s="401"/>
      <c r="B438" s="400"/>
      <c r="C438" s="399"/>
      <c r="D438" s="398"/>
      <c r="E438" s="397"/>
    </row>
    <row r="439" spans="1:5">
      <c r="A439" s="401"/>
      <c r="B439" s="400"/>
      <c r="C439" s="399"/>
      <c r="D439" s="398"/>
      <c r="E439" s="397"/>
    </row>
    <row r="440" spans="1:5">
      <c r="A440" s="401"/>
      <c r="B440" s="400"/>
      <c r="C440" s="399"/>
      <c r="D440" s="398"/>
      <c r="E440" s="397"/>
    </row>
    <row r="441" spans="1:5">
      <c r="A441" s="401"/>
      <c r="B441" s="400"/>
      <c r="C441" s="399"/>
      <c r="D441" s="398"/>
      <c r="E441" s="397"/>
    </row>
    <row r="442" spans="1:5">
      <c r="A442" s="401"/>
      <c r="B442" s="400"/>
      <c r="C442" s="399"/>
      <c r="D442" s="398"/>
      <c r="E442" s="397"/>
    </row>
    <row r="443" spans="1:5">
      <c r="A443" s="401"/>
      <c r="B443" s="400"/>
      <c r="C443" s="399"/>
      <c r="D443" s="398"/>
      <c r="E443" s="397"/>
    </row>
    <row r="444" spans="1:5">
      <c r="A444" s="401"/>
      <c r="B444" s="400"/>
      <c r="C444" s="399"/>
      <c r="D444" s="398"/>
      <c r="E444" s="397"/>
    </row>
    <row r="445" spans="1:5">
      <c r="A445" s="401"/>
      <c r="B445" s="400"/>
      <c r="C445" s="399"/>
      <c r="D445" s="398"/>
      <c r="E445" s="397"/>
    </row>
    <row r="446" spans="1:5">
      <c r="A446" s="401"/>
      <c r="B446" s="400"/>
      <c r="C446" s="399"/>
      <c r="D446" s="398"/>
      <c r="E446" s="397"/>
    </row>
    <row r="447" spans="1:5">
      <c r="A447" s="401"/>
      <c r="B447" s="400"/>
      <c r="C447" s="399"/>
      <c r="D447" s="398"/>
      <c r="E447" s="397"/>
    </row>
    <row r="448" spans="1:5">
      <c r="A448" s="401"/>
      <c r="B448" s="400"/>
      <c r="C448" s="399"/>
      <c r="D448" s="398"/>
      <c r="E448" s="397"/>
    </row>
    <row r="449" spans="1:5">
      <c r="A449" s="401"/>
      <c r="B449" s="400"/>
      <c r="C449" s="399"/>
      <c r="D449" s="398"/>
      <c r="E449" s="397"/>
    </row>
    <row r="450" spans="1:5">
      <c r="A450" s="401"/>
      <c r="B450" s="400"/>
      <c r="C450" s="399"/>
      <c r="D450" s="398"/>
      <c r="E450" s="397"/>
    </row>
    <row r="451" spans="1:5">
      <c r="A451" s="401"/>
      <c r="B451" s="400"/>
      <c r="C451" s="399"/>
      <c r="D451" s="398"/>
      <c r="E451" s="397"/>
    </row>
    <row r="452" spans="1:5">
      <c r="A452" s="401"/>
      <c r="B452" s="400"/>
      <c r="C452" s="399"/>
      <c r="D452" s="398"/>
      <c r="E452" s="397"/>
    </row>
    <row r="453" spans="1:5">
      <c r="A453" s="401"/>
      <c r="B453" s="400"/>
      <c r="C453" s="399"/>
      <c r="D453" s="398"/>
      <c r="E453" s="397"/>
    </row>
    <row r="454" spans="1:5">
      <c r="A454" s="401"/>
      <c r="B454" s="400"/>
      <c r="C454" s="399"/>
      <c r="D454" s="398"/>
      <c r="E454" s="397"/>
    </row>
    <row r="455" spans="1:5">
      <c r="A455" s="401"/>
      <c r="B455" s="400"/>
      <c r="C455" s="399"/>
      <c r="D455" s="398"/>
      <c r="E455" s="397"/>
    </row>
    <row r="456" spans="1:5">
      <c r="A456" s="401"/>
      <c r="B456" s="400"/>
      <c r="C456" s="399"/>
      <c r="D456" s="398"/>
      <c r="E456" s="397"/>
    </row>
    <row r="457" spans="1:5">
      <c r="A457" s="401"/>
      <c r="B457" s="400"/>
      <c r="C457" s="399"/>
      <c r="D457" s="398"/>
      <c r="E457" s="397"/>
    </row>
    <row r="458" spans="1:5">
      <c r="A458" s="401"/>
      <c r="B458" s="400"/>
      <c r="C458" s="399"/>
      <c r="D458" s="398"/>
      <c r="E458" s="397"/>
    </row>
    <row r="459" spans="1:5">
      <c r="A459" s="401"/>
      <c r="B459" s="400"/>
      <c r="C459" s="399"/>
      <c r="D459" s="398"/>
      <c r="E459" s="397"/>
    </row>
    <row r="460" spans="1:5">
      <c r="A460" s="401"/>
      <c r="B460" s="400"/>
      <c r="C460" s="399"/>
      <c r="D460" s="398"/>
      <c r="E460" s="397"/>
    </row>
    <row r="461" spans="1:5">
      <c r="A461" s="401"/>
      <c r="B461" s="400"/>
      <c r="C461" s="399"/>
      <c r="D461" s="398"/>
      <c r="E461" s="397"/>
    </row>
    <row r="462" spans="1:5">
      <c r="A462" s="401"/>
      <c r="B462" s="400"/>
      <c r="C462" s="399"/>
      <c r="D462" s="398"/>
      <c r="E462" s="397"/>
    </row>
    <row r="463" spans="1:5">
      <c r="A463" s="401"/>
      <c r="B463" s="400"/>
      <c r="C463" s="399"/>
      <c r="D463" s="398"/>
      <c r="E463" s="397"/>
    </row>
    <row r="464" spans="1:5">
      <c r="A464" s="401"/>
      <c r="B464" s="400"/>
      <c r="C464" s="399"/>
      <c r="D464" s="398"/>
      <c r="E464" s="397"/>
    </row>
    <row r="465" spans="1:5">
      <c r="A465" s="401"/>
      <c r="B465" s="400"/>
      <c r="C465" s="399"/>
      <c r="D465" s="398"/>
      <c r="E465" s="397"/>
    </row>
    <row r="466" spans="1:5">
      <c r="A466" s="401"/>
      <c r="B466" s="400"/>
      <c r="C466" s="399"/>
      <c r="D466" s="398"/>
      <c r="E466" s="397"/>
    </row>
    <row r="467" spans="1:5">
      <c r="A467" s="401"/>
      <c r="B467" s="400"/>
      <c r="C467" s="399"/>
      <c r="D467" s="398"/>
      <c r="E467" s="397"/>
    </row>
    <row r="468" spans="1:5">
      <c r="A468" s="401"/>
      <c r="B468" s="400"/>
      <c r="C468" s="399"/>
      <c r="D468" s="398"/>
      <c r="E468" s="397"/>
    </row>
    <row r="469" spans="1:5">
      <c r="A469" s="401"/>
      <c r="B469" s="400"/>
      <c r="C469" s="399"/>
      <c r="D469" s="398"/>
      <c r="E469" s="397"/>
    </row>
    <row r="470" spans="1:5">
      <c r="A470" s="401"/>
      <c r="B470" s="400"/>
      <c r="C470" s="399"/>
      <c r="D470" s="398"/>
      <c r="E470" s="397"/>
    </row>
    <row r="471" spans="1:5">
      <c r="A471" s="401"/>
      <c r="B471" s="400"/>
      <c r="C471" s="399"/>
      <c r="D471" s="398"/>
      <c r="E471" s="397"/>
    </row>
    <row r="472" spans="1:5">
      <c r="A472" s="401"/>
      <c r="B472" s="400"/>
      <c r="C472" s="399"/>
      <c r="D472" s="398"/>
      <c r="E472" s="397"/>
    </row>
    <row r="473" spans="1:5">
      <c r="A473" s="401"/>
      <c r="B473" s="400"/>
      <c r="C473" s="399"/>
      <c r="D473" s="398"/>
      <c r="E473" s="397"/>
    </row>
    <row r="474" spans="1:5">
      <c r="A474" s="401"/>
      <c r="B474" s="400"/>
      <c r="C474" s="399"/>
      <c r="D474" s="398"/>
      <c r="E474" s="397"/>
    </row>
    <row r="475" spans="1:5">
      <c r="A475" s="401"/>
      <c r="B475" s="400"/>
      <c r="C475" s="399"/>
      <c r="D475" s="398"/>
      <c r="E475" s="397"/>
    </row>
    <row r="476" spans="1:5">
      <c r="A476" s="401"/>
      <c r="B476" s="400"/>
      <c r="C476" s="399"/>
      <c r="D476" s="398"/>
      <c r="E476" s="397"/>
    </row>
    <row r="477" spans="1:5">
      <c r="A477" s="401"/>
      <c r="B477" s="400"/>
      <c r="C477" s="399"/>
      <c r="D477" s="398"/>
      <c r="E477" s="397"/>
    </row>
    <row r="478" spans="1:5">
      <c r="A478" s="401"/>
      <c r="B478" s="400"/>
      <c r="C478" s="399"/>
      <c r="D478" s="398"/>
      <c r="E478" s="397"/>
    </row>
    <row r="479" spans="1:5">
      <c r="A479" s="401"/>
      <c r="B479" s="400"/>
      <c r="C479" s="399"/>
      <c r="D479" s="398"/>
      <c r="E479" s="397"/>
    </row>
    <row r="480" spans="1:5">
      <c r="A480" s="401"/>
      <c r="B480" s="400"/>
      <c r="C480" s="399"/>
      <c r="D480" s="398"/>
      <c r="E480" s="397"/>
    </row>
    <row r="481" spans="1:5">
      <c r="A481" s="401"/>
      <c r="B481" s="400"/>
      <c r="C481" s="399"/>
      <c r="D481" s="398"/>
      <c r="E481" s="397"/>
    </row>
    <row r="482" spans="1:5">
      <c r="A482" s="401"/>
      <c r="B482" s="400"/>
      <c r="C482" s="399"/>
      <c r="D482" s="398"/>
      <c r="E482" s="397"/>
    </row>
    <row r="483" spans="1:5">
      <c r="A483" s="401"/>
      <c r="B483" s="400"/>
      <c r="C483" s="399"/>
      <c r="D483" s="398"/>
      <c r="E483" s="397"/>
    </row>
    <row r="484" spans="1:5">
      <c r="A484" s="401"/>
      <c r="B484" s="400"/>
      <c r="C484" s="399"/>
      <c r="D484" s="398"/>
      <c r="E484" s="397"/>
    </row>
    <row r="485" spans="1:5">
      <c r="A485" s="401"/>
      <c r="B485" s="400"/>
      <c r="C485" s="399"/>
      <c r="D485" s="398"/>
      <c r="E485" s="397"/>
    </row>
    <row r="486" spans="1:5">
      <c r="A486" s="401"/>
      <c r="B486" s="400"/>
      <c r="C486" s="399"/>
      <c r="D486" s="398"/>
      <c r="E486" s="397"/>
    </row>
    <row r="487" spans="1:5">
      <c r="A487" s="401"/>
      <c r="B487" s="400"/>
      <c r="C487" s="399"/>
      <c r="D487" s="398"/>
      <c r="E487" s="397"/>
    </row>
    <row r="488" spans="1:5">
      <c r="A488" s="401"/>
      <c r="B488" s="400"/>
      <c r="C488" s="399"/>
      <c r="D488" s="398"/>
      <c r="E488" s="397"/>
    </row>
    <row r="489" spans="1:5">
      <c r="A489" s="401"/>
      <c r="B489" s="400"/>
      <c r="C489" s="399"/>
      <c r="D489" s="398"/>
      <c r="E489" s="397"/>
    </row>
    <row r="490" spans="1:5">
      <c r="A490" s="401"/>
      <c r="B490" s="400"/>
      <c r="C490" s="399"/>
      <c r="D490" s="398"/>
      <c r="E490" s="397"/>
    </row>
    <row r="491" spans="1:5">
      <c r="A491" s="401"/>
      <c r="B491" s="400"/>
      <c r="C491" s="399"/>
      <c r="D491" s="398"/>
      <c r="E491" s="397"/>
    </row>
    <row r="492" spans="1:5">
      <c r="A492" s="401"/>
      <c r="B492" s="400"/>
      <c r="C492" s="399"/>
      <c r="D492" s="398"/>
      <c r="E492" s="397"/>
    </row>
    <row r="493" spans="1:5">
      <c r="A493" s="401"/>
      <c r="B493" s="400"/>
      <c r="C493" s="399"/>
      <c r="D493" s="398"/>
      <c r="E493" s="397"/>
    </row>
    <row r="494" spans="1:5">
      <c r="A494" s="401"/>
      <c r="B494" s="400"/>
      <c r="C494" s="399"/>
      <c r="D494" s="398"/>
      <c r="E494" s="397"/>
    </row>
    <row r="495" spans="1:5">
      <c r="A495" s="401"/>
      <c r="B495" s="400"/>
      <c r="C495" s="399"/>
      <c r="D495" s="398"/>
      <c r="E495" s="397"/>
    </row>
    <row r="496" spans="1:5">
      <c r="A496" s="401"/>
      <c r="B496" s="400"/>
      <c r="C496" s="399"/>
      <c r="D496" s="398"/>
      <c r="E496" s="397"/>
    </row>
    <row r="497" spans="1:5">
      <c r="A497" s="401"/>
      <c r="B497" s="400"/>
      <c r="C497" s="399"/>
      <c r="D497" s="398"/>
      <c r="E497" s="397"/>
    </row>
    <row r="498" spans="1:5">
      <c r="A498" s="401"/>
      <c r="B498" s="400"/>
      <c r="C498" s="399"/>
      <c r="D498" s="398"/>
      <c r="E498" s="397"/>
    </row>
    <row r="499" spans="1:5">
      <c r="A499" s="401"/>
      <c r="B499" s="400"/>
      <c r="C499" s="399"/>
      <c r="D499" s="398"/>
      <c r="E499" s="397"/>
    </row>
    <row r="500" spans="1:5">
      <c r="A500" s="401"/>
      <c r="B500" s="400"/>
      <c r="C500" s="399"/>
      <c r="D500" s="398"/>
      <c r="E500" s="397"/>
    </row>
    <row r="501" spans="1:5">
      <c r="A501" s="401"/>
      <c r="B501" s="400"/>
      <c r="C501" s="399"/>
      <c r="D501" s="398"/>
      <c r="E501" s="397"/>
    </row>
    <row r="502" spans="1:5">
      <c r="A502" s="401"/>
      <c r="B502" s="400"/>
      <c r="C502" s="399"/>
      <c r="D502" s="398"/>
      <c r="E502" s="397"/>
    </row>
    <row r="503" spans="1:5">
      <c r="A503" s="401"/>
      <c r="B503" s="400"/>
      <c r="C503" s="399"/>
      <c r="D503" s="398"/>
      <c r="E503" s="397"/>
    </row>
    <row r="504" spans="1:5">
      <c r="A504" s="401"/>
      <c r="B504" s="400"/>
      <c r="C504" s="399"/>
      <c r="D504" s="398"/>
      <c r="E504" s="397"/>
    </row>
    <row r="505" spans="1:5">
      <c r="A505" s="401"/>
      <c r="B505" s="400"/>
      <c r="C505" s="399"/>
      <c r="D505" s="398"/>
      <c r="E505" s="397"/>
    </row>
    <row r="506" spans="1:5">
      <c r="A506" s="401"/>
      <c r="B506" s="400"/>
      <c r="C506" s="399"/>
      <c r="D506" s="398"/>
      <c r="E506" s="397"/>
    </row>
    <row r="507" spans="1:5">
      <c r="A507" s="401"/>
      <c r="B507" s="400"/>
      <c r="C507" s="399"/>
      <c r="D507" s="398"/>
      <c r="E507" s="397"/>
    </row>
    <row r="508" spans="1:5">
      <c r="A508" s="401"/>
      <c r="B508" s="400"/>
      <c r="C508" s="399"/>
      <c r="D508" s="398"/>
      <c r="E508" s="397"/>
    </row>
    <row r="509" spans="1:5">
      <c r="A509" s="401"/>
      <c r="B509" s="400"/>
      <c r="C509" s="399"/>
      <c r="D509" s="398"/>
      <c r="E509" s="397"/>
    </row>
    <row r="510" spans="1:5">
      <c r="A510" s="401"/>
      <c r="B510" s="400"/>
      <c r="C510" s="399"/>
      <c r="D510" s="398"/>
      <c r="E510" s="397"/>
    </row>
    <row r="511" spans="1:5">
      <c r="A511" s="401"/>
      <c r="B511" s="400"/>
      <c r="C511" s="399"/>
      <c r="D511" s="398"/>
      <c r="E511" s="397"/>
    </row>
    <row r="512" spans="1:5">
      <c r="A512" s="401"/>
      <c r="B512" s="400"/>
      <c r="C512" s="399"/>
      <c r="D512" s="398"/>
      <c r="E512" s="397"/>
    </row>
    <row r="513" spans="1:5">
      <c r="A513" s="401"/>
      <c r="B513" s="400"/>
      <c r="C513" s="399"/>
      <c r="D513" s="398"/>
      <c r="E513" s="397"/>
    </row>
    <row r="514" spans="1:5">
      <c r="A514" s="401"/>
      <c r="B514" s="400"/>
      <c r="C514" s="399"/>
      <c r="D514" s="398"/>
      <c r="E514" s="397"/>
    </row>
    <row r="515" spans="1:5">
      <c r="A515" s="401"/>
      <c r="B515" s="400"/>
      <c r="C515" s="399"/>
      <c r="D515" s="398"/>
      <c r="E515" s="397"/>
    </row>
    <row r="516" spans="1:5">
      <c r="A516" s="401"/>
      <c r="B516" s="400"/>
      <c r="C516" s="399"/>
      <c r="D516" s="398"/>
      <c r="E516" s="397"/>
    </row>
    <row r="517" spans="1:5">
      <c r="A517" s="401"/>
      <c r="B517" s="400"/>
      <c r="C517" s="399"/>
      <c r="D517" s="398"/>
      <c r="E517" s="397"/>
    </row>
    <row r="518" spans="1:5">
      <c r="A518" s="401"/>
      <c r="B518" s="400"/>
      <c r="C518" s="399"/>
      <c r="D518" s="398"/>
      <c r="E518" s="397"/>
    </row>
    <row r="519" spans="1:5">
      <c r="A519" s="401"/>
      <c r="B519" s="400"/>
      <c r="C519" s="399"/>
      <c r="D519" s="398"/>
      <c r="E519" s="397"/>
    </row>
    <row r="520" spans="1:5">
      <c r="A520" s="401"/>
      <c r="B520" s="400"/>
      <c r="C520" s="399"/>
      <c r="D520" s="398"/>
      <c r="E520" s="397"/>
    </row>
    <row r="521" spans="1:5">
      <c r="A521" s="401"/>
      <c r="B521" s="400"/>
      <c r="C521" s="399"/>
      <c r="D521" s="398"/>
      <c r="E521" s="397"/>
    </row>
    <row r="522" spans="1:5">
      <c r="A522" s="401"/>
      <c r="B522" s="400"/>
      <c r="C522" s="399"/>
      <c r="D522" s="398"/>
      <c r="E522" s="397"/>
    </row>
    <row r="523" spans="1:5">
      <c r="A523" s="401"/>
      <c r="B523" s="400"/>
      <c r="C523" s="399"/>
      <c r="D523" s="398"/>
      <c r="E523" s="397"/>
    </row>
    <row r="524" spans="1:5">
      <c r="A524" s="401"/>
      <c r="B524" s="400"/>
      <c r="C524" s="399"/>
      <c r="D524" s="398"/>
      <c r="E524" s="397"/>
    </row>
    <row r="525" spans="1:5">
      <c r="A525" s="401"/>
      <c r="B525" s="400"/>
      <c r="C525" s="399"/>
      <c r="D525" s="398"/>
      <c r="E525" s="397"/>
    </row>
    <row r="526" spans="1:5">
      <c r="A526" s="401"/>
      <c r="B526" s="400"/>
      <c r="C526" s="399"/>
      <c r="D526" s="398"/>
      <c r="E526" s="397"/>
    </row>
    <row r="527" spans="1:5">
      <c r="A527" s="401"/>
      <c r="B527" s="400"/>
      <c r="C527" s="399"/>
      <c r="D527" s="398"/>
      <c r="E527" s="397"/>
    </row>
    <row r="528" spans="1:5">
      <c r="A528" s="401"/>
      <c r="B528" s="400"/>
      <c r="C528" s="399"/>
      <c r="D528" s="398"/>
      <c r="E528" s="397"/>
    </row>
    <row r="529" spans="1:5">
      <c r="A529" s="401"/>
      <c r="B529" s="400"/>
      <c r="C529" s="399"/>
      <c r="D529" s="398"/>
      <c r="E529" s="397"/>
    </row>
    <row r="530" spans="1:5">
      <c r="A530" s="401"/>
      <c r="B530" s="400"/>
      <c r="C530" s="399"/>
      <c r="D530" s="398"/>
      <c r="E530" s="397"/>
    </row>
    <row r="531" spans="1:5">
      <c r="A531" s="401"/>
      <c r="B531" s="400"/>
      <c r="C531" s="399"/>
      <c r="D531" s="398"/>
      <c r="E531" s="397"/>
    </row>
    <row r="532" spans="1:5">
      <c r="A532" s="401"/>
      <c r="B532" s="400"/>
      <c r="C532" s="399"/>
      <c r="D532" s="398"/>
      <c r="E532" s="397"/>
    </row>
    <row r="533" spans="1:5">
      <c r="A533" s="401"/>
      <c r="B533" s="400"/>
      <c r="C533" s="399"/>
      <c r="D533" s="398"/>
      <c r="E533" s="397"/>
    </row>
    <row r="534" spans="1:5">
      <c r="A534" s="401"/>
      <c r="B534" s="400"/>
      <c r="C534" s="399"/>
      <c r="D534" s="398"/>
      <c r="E534" s="397"/>
    </row>
    <row r="535" spans="1:5">
      <c r="A535" s="401"/>
      <c r="B535" s="400"/>
      <c r="C535" s="399"/>
      <c r="D535" s="398"/>
      <c r="E535" s="397"/>
    </row>
    <row r="536" spans="1:5">
      <c r="A536" s="401"/>
      <c r="B536" s="400"/>
      <c r="C536" s="399"/>
      <c r="D536" s="398"/>
      <c r="E536" s="397"/>
    </row>
    <row r="537" spans="1:5">
      <c r="A537" s="401"/>
      <c r="B537" s="400"/>
      <c r="C537" s="399"/>
      <c r="D537" s="398"/>
      <c r="E537" s="397"/>
    </row>
    <row r="538" spans="1:5">
      <c r="A538" s="401"/>
      <c r="B538" s="400"/>
      <c r="C538" s="399"/>
      <c r="D538" s="398"/>
      <c r="E538" s="397"/>
    </row>
    <row r="539" spans="1:5">
      <c r="A539" s="401"/>
      <c r="B539" s="400"/>
      <c r="C539" s="399"/>
      <c r="D539" s="398"/>
      <c r="E539" s="397"/>
    </row>
    <row r="540" spans="1:5">
      <c r="A540" s="401"/>
      <c r="B540" s="400"/>
      <c r="C540" s="399"/>
      <c r="D540" s="398"/>
      <c r="E540" s="397"/>
    </row>
    <row r="541" spans="1:5">
      <c r="A541" s="401"/>
      <c r="B541" s="400"/>
      <c r="C541" s="399"/>
      <c r="D541" s="398"/>
      <c r="E541" s="397"/>
    </row>
    <row r="542" spans="1:5">
      <c r="A542" s="401"/>
      <c r="B542" s="400"/>
      <c r="C542" s="399"/>
      <c r="D542" s="398"/>
      <c r="E542" s="397"/>
    </row>
    <row r="543" spans="1:5">
      <c r="A543" s="401"/>
      <c r="B543" s="400"/>
      <c r="C543" s="399"/>
      <c r="D543" s="398"/>
      <c r="E543" s="397"/>
    </row>
    <row r="544" spans="1:5">
      <c r="A544" s="401"/>
      <c r="B544" s="400"/>
      <c r="C544" s="399"/>
      <c r="D544" s="398"/>
      <c r="E544" s="397"/>
    </row>
    <row r="545" spans="1:5">
      <c r="A545" s="401"/>
      <c r="B545" s="400"/>
      <c r="C545" s="399"/>
      <c r="D545" s="398"/>
      <c r="E545" s="397"/>
    </row>
    <row r="546" spans="1:5">
      <c r="A546" s="401"/>
      <c r="B546" s="400"/>
      <c r="C546" s="399"/>
      <c r="D546" s="398"/>
      <c r="E546" s="397"/>
    </row>
    <row r="547" spans="1:5">
      <c r="A547" s="401"/>
      <c r="B547" s="400"/>
      <c r="C547" s="399"/>
      <c r="D547" s="398"/>
      <c r="E547" s="397"/>
    </row>
    <row r="548" spans="1:5">
      <c r="A548" s="401"/>
      <c r="B548" s="400"/>
      <c r="C548" s="399"/>
      <c r="D548" s="398"/>
      <c r="E548" s="397"/>
    </row>
    <row r="549" spans="1:5">
      <c r="A549" s="401"/>
      <c r="B549" s="400"/>
      <c r="C549" s="399"/>
      <c r="D549" s="398"/>
      <c r="E549" s="397"/>
    </row>
    <row r="550" spans="1:5">
      <c r="A550" s="401"/>
      <c r="B550" s="400"/>
      <c r="C550" s="399"/>
      <c r="D550" s="398"/>
      <c r="E550" s="397"/>
    </row>
    <row r="551" spans="1:5">
      <c r="A551" s="401"/>
      <c r="B551" s="400"/>
      <c r="C551" s="399"/>
      <c r="D551" s="398"/>
      <c r="E551" s="397"/>
    </row>
    <row r="552" spans="1:5">
      <c r="A552" s="401"/>
      <c r="B552" s="400"/>
      <c r="C552" s="399"/>
      <c r="D552" s="398"/>
      <c r="E552" s="397"/>
    </row>
    <row r="553" spans="1:5">
      <c r="A553" s="401"/>
      <c r="B553" s="400"/>
      <c r="C553" s="399"/>
      <c r="D553" s="398"/>
      <c r="E553" s="397"/>
    </row>
    <row r="554" spans="1:5">
      <c r="A554" s="401"/>
      <c r="B554" s="400"/>
      <c r="C554" s="399"/>
      <c r="D554" s="398"/>
      <c r="E554" s="397"/>
    </row>
    <row r="555" spans="1:5">
      <c r="A555" s="401"/>
      <c r="B555" s="400"/>
      <c r="C555" s="399"/>
      <c r="D555" s="398"/>
      <c r="E555" s="397"/>
    </row>
    <row r="556" spans="1:5">
      <c r="A556" s="401"/>
      <c r="B556" s="400"/>
      <c r="C556" s="399"/>
      <c r="D556" s="398"/>
      <c r="E556" s="397"/>
    </row>
    <row r="557" spans="1:5">
      <c r="A557" s="401"/>
      <c r="B557" s="400"/>
      <c r="C557" s="399"/>
      <c r="D557" s="398"/>
      <c r="E557" s="397"/>
    </row>
    <row r="558" spans="1:5">
      <c r="A558" s="401"/>
      <c r="B558" s="400"/>
      <c r="C558" s="399"/>
      <c r="D558" s="398"/>
      <c r="E558" s="397"/>
    </row>
    <row r="559" spans="1:5">
      <c r="A559" s="401"/>
      <c r="B559" s="400"/>
      <c r="C559" s="399"/>
      <c r="D559" s="398"/>
      <c r="E559" s="397"/>
    </row>
    <row r="560" spans="1:5">
      <c r="A560" s="401"/>
      <c r="B560" s="400"/>
      <c r="C560" s="399"/>
      <c r="D560" s="398"/>
      <c r="E560" s="397"/>
    </row>
    <row r="561" spans="1:5">
      <c r="A561" s="401"/>
      <c r="B561" s="400"/>
      <c r="C561" s="399"/>
      <c r="D561" s="398"/>
      <c r="E561" s="397"/>
    </row>
    <row r="562" spans="1:5">
      <c r="A562" s="401"/>
      <c r="B562" s="400"/>
      <c r="C562" s="399"/>
      <c r="D562" s="398"/>
      <c r="E562" s="397"/>
    </row>
    <row r="563" spans="1:5">
      <c r="A563" s="401"/>
      <c r="B563" s="400"/>
      <c r="C563" s="399"/>
      <c r="D563" s="398"/>
      <c r="E563" s="397"/>
    </row>
    <row r="564" spans="1:5">
      <c r="A564" s="401"/>
      <c r="B564" s="400"/>
      <c r="C564" s="399"/>
      <c r="D564" s="398"/>
      <c r="E564" s="397"/>
    </row>
    <row r="565" spans="1:5">
      <c r="A565" s="401"/>
      <c r="B565" s="400"/>
      <c r="C565" s="399"/>
      <c r="D565" s="398"/>
      <c r="E565" s="397"/>
    </row>
    <row r="566" spans="1:5">
      <c r="A566" s="401"/>
      <c r="B566" s="400"/>
      <c r="C566" s="399"/>
      <c r="D566" s="398"/>
      <c r="E566" s="397"/>
    </row>
    <row r="567" spans="1:5">
      <c r="A567" s="401"/>
      <c r="B567" s="400"/>
      <c r="C567" s="399"/>
      <c r="D567" s="398"/>
      <c r="E567" s="397"/>
    </row>
    <row r="568" spans="1:5">
      <c r="A568" s="401"/>
      <c r="B568" s="400"/>
      <c r="C568" s="399"/>
      <c r="D568" s="398"/>
      <c r="E568" s="397"/>
    </row>
    <row r="569" spans="1:5">
      <c r="A569" s="401"/>
      <c r="B569" s="400"/>
      <c r="C569" s="399"/>
      <c r="D569" s="398"/>
      <c r="E569" s="397"/>
    </row>
    <row r="570" spans="1:5">
      <c r="A570" s="401"/>
      <c r="B570" s="400"/>
      <c r="C570" s="399"/>
      <c r="D570" s="398"/>
      <c r="E570" s="397"/>
    </row>
    <row r="571" spans="1:5">
      <c r="A571" s="401"/>
      <c r="B571" s="400"/>
      <c r="C571" s="399"/>
      <c r="D571" s="398"/>
      <c r="E571" s="397"/>
    </row>
    <row r="572" spans="1:5">
      <c r="A572" s="401"/>
      <c r="B572" s="400"/>
      <c r="C572" s="399"/>
      <c r="D572" s="398"/>
      <c r="E572" s="397"/>
    </row>
    <row r="573" spans="1:5">
      <c r="A573" s="401"/>
      <c r="B573" s="400"/>
      <c r="C573" s="399"/>
      <c r="D573" s="398"/>
      <c r="E573" s="397"/>
    </row>
    <row r="574" spans="1:5">
      <c r="A574" s="401"/>
      <c r="B574" s="400"/>
      <c r="C574" s="399"/>
      <c r="D574" s="398"/>
      <c r="E574" s="397"/>
    </row>
    <row r="575" spans="1:5">
      <c r="A575" s="401"/>
      <c r="B575" s="400"/>
      <c r="C575" s="399"/>
      <c r="D575" s="398"/>
      <c r="E575" s="397"/>
    </row>
    <row r="576" spans="1:5">
      <c r="A576" s="401"/>
      <c r="B576" s="400"/>
      <c r="C576" s="399"/>
      <c r="D576" s="398"/>
      <c r="E576" s="397"/>
    </row>
    <row r="577" spans="1:5">
      <c r="A577" s="401"/>
      <c r="B577" s="400"/>
      <c r="C577" s="399"/>
      <c r="D577" s="398"/>
      <c r="E577" s="397"/>
    </row>
    <row r="578" spans="1:5">
      <c r="A578" s="401"/>
      <c r="B578" s="400"/>
      <c r="C578" s="399"/>
      <c r="D578" s="398"/>
      <c r="E578" s="397"/>
    </row>
    <row r="579" spans="1:5">
      <c r="A579" s="401"/>
      <c r="B579" s="400"/>
      <c r="C579" s="399"/>
      <c r="D579" s="398"/>
      <c r="E579" s="397"/>
    </row>
    <row r="580" spans="1:5">
      <c r="A580" s="401"/>
      <c r="B580" s="400"/>
      <c r="C580" s="399"/>
      <c r="D580" s="398"/>
      <c r="E580" s="397"/>
    </row>
    <row r="581" spans="1:5">
      <c r="A581" s="401"/>
      <c r="B581" s="400"/>
      <c r="C581" s="399"/>
      <c r="D581" s="398"/>
      <c r="E581" s="397"/>
    </row>
    <row r="582" spans="1:5">
      <c r="A582" s="401"/>
      <c r="B582" s="400"/>
      <c r="C582" s="399"/>
      <c r="D582" s="398"/>
      <c r="E582" s="397"/>
    </row>
    <row r="583" spans="1:5">
      <c r="A583" s="401"/>
      <c r="B583" s="400"/>
      <c r="C583" s="399"/>
      <c r="D583" s="398"/>
      <c r="E583" s="397"/>
    </row>
    <row r="584" spans="1:5">
      <c r="A584" s="401"/>
      <c r="B584" s="400"/>
      <c r="C584" s="399"/>
      <c r="D584" s="398"/>
      <c r="E584" s="397"/>
    </row>
    <row r="585" spans="1:5">
      <c r="A585" s="401"/>
      <c r="B585" s="400"/>
      <c r="C585" s="399"/>
      <c r="D585" s="398"/>
      <c r="E585" s="397"/>
    </row>
    <row r="586" spans="1:5">
      <c r="A586" s="401"/>
      <c r="B586" s="400"/>
      <c r="C586" s="399"/>
      <c r="D586" s="398"/>
      <c r="E586" s="397"/>
    </row>
    <row r="587" spans="1:5">
      <c r="A587" s="401"/>
      <c r="B587" s="400"/>
      <c r="C587" s="399"/>
      <c r="D587" s="398"/>
      <c r="E587" s="397"/>
    </row>
    <row r="588" spans="1:5">
      <c r="A588" s="401"/>
      <c r="B588" s="400"/>
      <c r="C588" s="399"/>
      <c r="D588" s="398"/>
      <c r="E588" s="397"/>
    </row>
    <row r="589" spans="1:5">
      <c r="A589" s="401"/>
      <c r="B589" s="400"/>
      <c r="C589" s="399"/>
      <c r="D589" s="398"/>
      <c r="E589" s="397"/>
    </row>
    <row r="590" spans="1:5">
      <c r="A590" s="401"/>
      <c r="B590" s="400"/>
      <c r="C590" s="399"/>
      <c r="D590" s="398"/>
      <c r="E590" s="397"/>
    </row>
    <row r="591" spans="1:5">
      <c r="A591" s="401"/>
      <c r="B591" s="400"/>
      <c r="C591" s="399"/>
      <c r="D591" s="398"/>
      <c r="E591" s="397"/>
    </row>
    <row r="592" spans="1:5">
      <c r="A592" s="401"/>
      <c r="B592" s="400"/>
      <c r="C592" s="399"/>
      <c r="D592" s="398"/>
      <c r="E592" s="397"/>
    </row>
    <row r="593" spans="1:5">
      <c r="A593" s="401"/>
      <c r="B593" s="400"/>
      <c r="C593" s="399"/>
      <c r="D593" s="398"/>
      <c r="E593" s="397"/>
    </row>
    <row r="594" spans="1:5">
      <c r="A594" s="401"/>
      <c r="B594" s="400"/>
      <c r="C594" s="399"/>
      <c r="D594" s="398"/>
      <c r="E594" s="397"/>
    </row>
    <row r="595" spans="1:5">
      <c r="A595" s="401"/>
      <c r="B595" s="400"/>
      <c r="C595" s="399"/>
      <c r="D595" s="398"/>
      <c r="E595" s="397"/>
    </row>
    <row r="596" spans="1:5">
      <c r="A596" s="401"/>
      <c r="B596" s="400"/>
      <c r="C596" s="399"/>
      <c r="D596" s="398"/>
      <c r="E596" s="397"/>
    </row>
    <row r="597" spans="1:5">
      <c r="A597" s="401"/>
      <c r="B597" s="400"/>
      <c r="C597" s="399"/>
      <c r="D597" s="398"/>
      <c r="E597" s="397"/>
    </row>
    <row r="598" spans="1:5">
      <c r="A598" s="401"/>
      <c r="B598" s="400"/>
      <c r="C598" s="399"/>
      <c r="D598" s="398"/>
      <c r="E598" s="397"/>
    </row>
    <row r="599" spans="1:5">
      <c r="A599" s="401"/>
      <c r="B599" s="400"/>
      <c r="C599" s="399"/>
      <c r="D599" s="398"/>
      <c r="E599" s="397"/>
    </row>
    <row r="600" spans="1:5">
      <c r="A600" s="401"/>
      <c r="B600" s="400"/>
      <c r="C600" s="399"/>
      <c r="D600" s="398"/>
      <c r="E600" s="397"/>
    </row>
    <row r="601" spans="1:5">
      <c r="A601" s="401"/>
      <c r="B601" s="400"/>
      <c r="C601" s="399"/>
      <c r="D601" s="398"/>
      <c r="E601" s="397"/>
    </row>
    <row r="602" spans="1:5">
      <c r="A602" s="401"/>
      <c r="B602" s="400"/>
      <c r="C602" s="399"/>
      <c r="D602" s="398"/>
      <c r="E602" s="397"/>
    </row>
    <row r="603" spans="1:5">
      <c r="A603" s="401"/>
      <c r="B603" s="400"/>
      <c r="C603" s="399"/>
      <c r="D603" s="398"/>
      <c r="E603" s="397"/>
    </row>
    <row r="604" spans="1:5">
      <c r="A604" s="401"/>
      <c r="B604" s="400"/>
      <c r="C604" s="399"/>
      <c r="D604" s="398"/>
      <c r="E604" s="397"/>
    </row>
    <row r="605" spans="1:5">
      <c r="A605" s="401"/>
      <c r="B605" s="400"/>
      <c r="C605" s="399"/>
      <c r="D605" s="398"/>
      <c r="E605" s="397"/>
    </row>
    <row r="606" spans="1:5">
      <c r="A606" s="401"/>
      <c r="B606" s="400"/>
      <c r="C606" s="399"/>
      <c r="D606" s="398"/>
      <c r="E606" s="397"/>
    </row>
    <row r="607" spans="1:5">
      <c r="A607" s="401"/>
      <c r="B607" s="400"/>
      <c r="C607" s="399"/>
      <c r="D607" s="398"/>
      <c r="E607" s="397"/>
    </row>
    <row r="608" spans="1:5">
      <c r="A608" s="401"/>
      <c r="B608" s="400"/>
      <c r="C608" s="399"/>
      <c r="D608" s="398"/>
      <c r="E608" s="397"/>
    </row>
    <row r="609" spans="1:5">
      <c r="A609" s="401"/>
      <c r="B609" s="400"/>
      <c r="C609" s="399"/>
      <c r="D609" s="398"/>
      <c r="E609" s="397"/>
    </row>
    <row r="610" spans="1:5">
      <c r="A610" s="401"/>
      <c r="B610" s="400"/>
      <c r="C610" s="399"/>
      <c r="D610" s="398"/>
      <c r="E610" s="397"/>
    </row>
    <row r="611" spans="1:5">
      <c r="A611" s="401"/>
      <c r="B611" s="400"/>
      <c r="C611" s="399"/>
      <c r="D611" s="398"/>
      <c r="E611" s="397"/>
    </row>
    <row r="612" spans="1:5">
      <c r="A612" s="401"/>
      <c r="B612" s="400"/>
      <c r="C612" s="399"/>
      <c r="D612" s="398"/>
      <c r="E612" s="397"/>
    </row>
    <row r="613" spans="1:5">
      <c r="A613" s="401"/>
      <c r="B613" s="400"/>
      <c r="C613" s="399"/>
      <c r="D613" s="398"/>
      <c r="E613" s="397"/>
    </row>
    <row r="614" spans="1:5">
      <c r="A614" s="401"/>
      <c r="B614" s="400"/>
      <c r="C614" s="399"/>
      <c r="D614" s="398"/>
      <c r="E614" s="397"/>
    </row>
    <row r="615" spans="1:5">
      <c r="A615" s="401"/>
      <c r="B615" s="400"/>
      <c r="C615" s="399"/>
      <c r="D615" s="398"/>
      <c r="E615" s="397"/>
    </row>
    <row r="616" spans="1:5">
      <c r="A616" s="401"/>
      <c r="B616" s="400"/>
      <c r="C616" s="399"/>
      <c r="D616" s="398"/>
      <c r="E616" s="397"/>
    </row>
    <row r="617" spans="1:5">
      <c r="A617" s="401"/>
      <c r="B617" s="400"/>
      <c r="C617" s="399"/>
      <c r="D617" s="398"/>
      <c r="E617" s="397"/>
    </row>
    <row r="618" spans="1:5">
      <c r="A618" s="401"/>
      <c r="B618" s="400"/>
      <c r="C618" s="399"/>
      <c r="D618" s="398"/>
      <c r="E618" s="397"/>
    </row>
    <row r="619" spans="1:5">
      <c r="A619" s="401"/>
      <c r="B619" s="400"/>
      <c r="C619" s="399"/>
      <c r="D619" s="398"/>
      <c r="E619" s="397"/>
    </row>
    <row r="620" spans="1:5">
      <c r="A620" s="401"/>
      <c r="B620" s="400"/>
      <c r="C620" s="399"/>
      <c r="D620" s="398"/>
      <c r="E620" s="397"/>
    </row>
    <row r="621" spans="1:5">
      <c r="A621" s="401"/>
      <c r="B621" s="400"/>
      <c r="C621" s="399"/>
      <c r="D621" s="398"/>
      <c r="E621" s="397"/>
    </row>
    <row r="622" spans="1:5">
      <c r="A622" s="401"/>
      <c r="B622" s="400"/>
      <c r="C622" s="399"/>
      <c r="D622" s="398"/>
      <c r="E622" s="397"/>
    </row>
    <row r="623" spans="1:5">
      <c r="A623" s="401"/>
      <c r="B623" s="400"/>
      <c r="C623" s="399"/>
      <c r="D623" s="398"/>
      <c r="E623" s="397"/>
    </row>
    <row r="624" spans="1:5">
      <c r="A624" s="401"/>
      <c r="B624" s="400"/>
      <c r="C624" s="399"/>
      <c r="D624" s="398"/>
      <c r="E624" s="397"/>
    </row>
    <row r="625" spans="1:5">
      <c r="A625" s="401"/>
      <c r="B625" s="400"/>
      <c r="C625" s="399"/>
      <c r="D625" s="398"/>
      <c r="E625" s="397"/>
    </row>
    <row r="626" spans="1:5">
      <c r="A626" s="401"/>
      <c r="B626" s="400"/>
      <c r="C626" s="399"/>
      <c r="D626" s="398"/>
      <c r="E626" s="397"/>
    </row>
    <row r="627" spans="1:5">
      <c r="A627" s="401"/>
      <c r="B627" s="400"/>
      <c r="C627" s="399"/>
      <c r="D627" s="398"/>
      <c r="E627" s="397"/>
    </row>
    <row r="628" spans="1:5">
      <c r="A628" s="401"/>
      <c r="B628" s="400"/>
      <c r="C628" s="399"/>
      <c r="D628" s="398"/>
      <c r="E628" s="397"/>
    </row>
    <row r="629" spans="1:5">
      <c r="A629" s="401"/>
      <c r="B629" s="400"/>
      <c r="C629" s="399"/>
      <c r="D629" s="398"/>
      <c r="E629" s="397"/>
    </row>
    <row r="630" spans="1:5">
      <c r="A630" s="401"/>
      <c r="B630" s="400"/>
      <c r="C630" s="399"/>
      <c r="D630" s="398"/>
      <c r="E630" s="397"/>
    </row>
    <row r="631" spans="1:5">
      <c r="A631" s="401"/>
      <c r="B631" s="400"/>
      <c r="C631" s="399"/>
      <c r="D631" s="398"/>
      <c r="E631" s="397"/>
    </row>
    <row r="632" spans="1:5">
      <c r="A632" s="401"/>
      <c r="B632" s="400"/>
      <c r="C632" s="399"/>
      <c r="D632" s="398"/>
      <c r="E632" s="397"/>
    </row>
    <row r="633" spans="1:5">
      <c r="A633" s="401"/>
      <c r="B633" s="400"/>
      <c r="C633" s="399"/>
      <c r="D633" s="398"/>
      <c r="E633" s="397"/>
    </row>
    <row r="634" spans="1:5">
      <c r="A634" s="401"/>
      <c r="B634" s="400"/>
      <c r="C634" s="399"/>
      <c r="D634" s="398"/>
      <c r="E634" s="397"/>
    </row>
    <row r="635" spans="1:5">
      <c r="A635" s="401"/>
      <c r="B635" s="400"/>
      <c r="C635" s="399"/>
      <c r="D635" s="398"/>
      <c r="E635" s="397"/>
    </row>
    <row r="636" spans="1:5">
      <c r="A636" s="401"/>
      <c r="B636" s="400"/>
      <c r="C636" s="399"/>
      <c r="D636" s="398"/>
      <c r="E636" s="397"/>
    </row>
    <row r="637" spans="1:5">
      <c r="A637" s="401"/>
      <c r="B637" s="400"/>
      <c r="C637" s="399"/>
      <c r="D637" s="398"/>
      <c r="E637" s="397"/>
    </row>
    <row r="638" spans="1:5">
      <c r="A638" s="401"/>
      <c r="B638" s="400"/>
      <c r="C638" s="399"/>
      <c r="D638" s="398"/>
      <c r="E638" s="397"/>
    </row>
    <row r="639" spans="1:5">
      <c r="A639" s="401"/>
      <c r="B639" s="400"/>
      <c r="C639" s="399"/>
      <c r="D639" s="398"/>
      <c r="E639" s="397"/>
    </row>
    <row r="640" spans="1:5">
      <c r="A640" s="401"/>
      <c r="B640" s="400"/>
      <c r="C640" s="399"/>
      <c r="D640" s="398"/>
      <c r="E640" s="397"/>
    </row>
    <row r="641" spans="1:5">
      <c r="A641" s="401"/>
      <c r="B641" s="400"/>
      <c r="C641" s="399"/>
      <c r="D641" s="398"/>
      <c r="E641" s="397"/>
    </row>
    <row r="642" spans="1:5">
      <c r="A642" s="401"/>
      <c r="B642" s="400"/>
      <c r="C642" s="399"/>
      <c r="D642" s="398"/>
      <c r="E642" s="397"/>
    </row>
    <row r="643" spans="1:5">
      <c r="A643" s="401"/>
      <c r="B643" s="400"/>
      <c r="C643" s="399"/>
      <c r="D643" s="398"/>
      <c r="E643" s="397"/>
    </row>
    <row r="644" spans="1:5">
      <c r="A644" s="401"/>
      <c r="B644" s="400"/>
      <c r="C644" s="399"/>
      <c r="D644" s="398"/>
      <c r="E644" s="397"/>
    </row>
    <row r="645" spans="1:5">
      <c r="A645" s="401"/>
      <c r="B645" s="400"/>
      <c r="C645" s="399"/>
      <c r="D645" s="398"/>
      <c r="E645" s="397"/>
    </row>
    <row r="646" spans="1:5">
      <c r="A646" s="401"/>
      <c r="B646" s="400"/>
      <c r="C646" s="399"/>
      <c r="D646" s="398"/>
      <c r="E646" s="397"/>
    </row>
    <row r="647" spans="1:5">
      <c r="A647" s="401"/>
      <c r="B647" s="400"/>
      <c r="C647" s="399"/>
      <c r="D647" s="398"/>
      <c r="E647" s="397"/>
    </row>
    <row r="648" spans="1:5">
      <c r="A648" s="401"/>
      <c r="B648" s="400"/>
      <c r="C648" s="399"/>
      <c r="D648" s="398"/>
      <c r="E648" s="397"/>
    </row>
    <row r="649" spans="1:5">
      <c r="A649" s="401"/>
      <c r="B649" s="400"/>
      <c r="C649" s="399"/>
      <c r="D649" s="398"/>
      <c r="E649" s="397"/>
    </row>
    <row r="650" spans="1:5">
      <c r="A650" s="401"/>
      <c r="B650" s="400"/>
      <c r="C650" s="399"/>
      <c r="D650" s="398"/>
      <c r="E650" s="397"/>
    </row>
    <row r="651" spans="1:5">
      <c r="A651" s="401"/>
      <c r="B651" s="400"/>
      <c r="C651" s="399"/>
      <c r="D651" s="398"/>
      <c r="E651" s="397"/>
    </row>
    <row r="652" spans="1:5">
      <c r="A652" s="401"/>
      <c r="B652" s="400"/>
      <c r="C652" s="399"/>
      <c r="D652" s="398"/>
      <c r="E652" s="397"/>
    </row>
    <row r="653" spans="1:5">
      <c r="A653" s="401"/>
      <c r="B653" s="400"/>
      <c r="C653" s="399"/>
      <c r="D653" s="398"/>
      <c r="E653" s="397"/>
    </row>
    <row r="654" spans="1:5">
      <c r="A654" s="401"/>
      <c r="B654" s="400"/>
      <c r="C654" s="399"/>
      <c r="D654" s="398"/>
      <c r="E654" s="397"/>
    </row>
    <row r="655" spans="1:5">
      <c r="A655" s="401"/>
      <c r="B655" s="400"/>
      <c r="C655" s="399"/>
      <c r="D655" s="398"/>
      <c r="E655" s="397"/>
    </row>
    <row r="656" spans="1:5">
      <c r="A656" s="401"/>
      <c r="B656" s="400"/>
      <c r="C656" s="399"/>
      <c r="D656" s="398"/>
      <c r="E656" s="397"/>
    </row>
    <row r="657" spans="1:5">
      <c r="A657" s="401"/>
      <c r="B657" s="400"/>
      <c r="C657" s="399"/>
      <c r="D657" s="398"/>
      <c r="E657" s="397"/>
    </row>
    <row r="658" spans="1:5">
      <c r="A658" s="401"/>
      <c r="B658" s="400"/>
      <c r="C658" s="399"/>
      <c r="D658" s="398"/>
      <c r="E658" s="397"/>
    </row>
    <row r="659" spans="1:5">
      <c r="A659" s="401"/>
      <c r="B659" s="400"/>
      <c r="C659" s="399"/>
      <c r="D659" s="398"/>
      <c r="E659" s="397"/>
    </row>
    <row r="660" spans="1:5">
      <c r="A660" s="401"/>
      <c r="B660" s="400"/>
      <c r="C660" s="399"/>
      <c r="D660" s="398"/>
      <c r="E660" s="397"/>
    </row>
    <row r="661" spans="1:5">
      <c r="A661" s="401"/>
      <c r="B661" s="400"/>
      <c r="C661" s="399"/>
      <c r="D661" s="398"/>
      <c r="E661" s="397"/>
    </row>
    <row r="662" spans="1:5">
      <c r="A662" s="401"/>
      <c r="B662" s="400"/>
      <c r="C662" s="399"/>
      <c r="D662" s="398"/>
      <c r="E662" s="397"/>
    </row>
    <row r="663" spans="1:5">
      <c r="A663" s="401"/>
      <c r="B663" s="400"/>
      <c r="C663" s="399"/>
      <c r="D663" s="398"/>
      <c r="E663" s="397"/>
    </row>
    <row r="664" spans="1:5">
      <c r="A664" s="401"/>
      <c r="B664" s="400"/>
      <c r="C664" s="399"/>
      <c r="D664" s="398"/>
      <c r="E664" s="397"/>
    </row>
    <row r="665" spans="1:5">
      <c r="A665" s="401"/>
      <c r="B665" s="400"/>
      <c r="C665" s="399"/>
      <c r="D665" s="398"/>
      <c r="E665" s="397"/>
    </row>
    <row r="666" spans="1:5">
      <c r="A666" s="401"/>
      <c r="B666" s="400"/>
      <c r="C666" s="399"/>
      <c r="D666" s="398"/>
      <c r="E666" s="397"/>
    </row>
    <row r="667" spans="1:5">
      <c r="A667" s="401"/>
      <c r="B667" s="400"/>
      <c r="C667" s="399"/>
      <c r="D667" s="398"/>
      <c r="E667" s="397"/>
    </row>
    <row r="668" spans="1:5">
      <c r="A668" s="401"/>
      <c r="B668" s="400"/>
      <c r="C668" s="399"/>
      <c r="D668" s="398"/>
      <c r="E668" s="397"/>
    </row>
    <row r="669" spans="1:5">
      <c r="A669" s="401"/>
      <c r="B669" s="400"/>
      <c r="C669" s="399"/>
      <c r="D669" s="398"/>
      <c r="E669" s="397"/>
    </row>
    <row r="670" spans="1:5">
      <c r="A670" s="401"/>
      <c r="B670" s="400"/>
      <c r="C670" s="399"/>
      <c r="D670" s="398"/>
      <c r="E670" s="397"/>
    </row>
    <row r="671" spans="1:5">
      <c r="A671" s="401"/>
      <c r="B671" s="400"/>
      <c r="C671" s="399"/>
      <c r="D671" s="398"/>
      <c r="E671" s="397"/>
    </row>
    <row r="672" spans="1:5">
      <c r="A672" s="401"/>
      <c r="B672" s="400"/>
      <c r="C672" s="399"/>
      <c r="D672" s="398"/>
      <c r="E672" s="397"/>
    </row>
    <row r="673" spans="1:5">
      <c r="A673" s="401"/>
      <c r="B673" s="400"/>
      <c r="C673" s="399"/>
      <c r="D673" s="398"/>
      <c r="E673" s="397"/>
    </row>
    <row r="674" spans="1:5">
      <c r="A674" s="401"/>
      <c r="B674" s="400"/>
      <c r="C674" s="399"/>
      <c r="D674" s="398"/>
      <c r="E674" s="397"/>
    </row>
    <row r="675" spans="1:5">
      <c r="A675" s="401"/>
      <c r="B675" s="400"/>
      <c r="C675" s="399"/>
      <c r="D675" s="398"/>
      <c r="E675" s="397"/>
    </row>
    <row r="676" spans="1:5">
      <c r="A676" s="401"/>
      <c r="B676" s="400"/>
      <c r="C676" s="399"/>
      <c r="D676" s="398"/>
      <c r="E676" s="397"/>
    </row>
    <row r="677" spans="1:5">
      <c r="A677" s="401"/>
      <c r="B677" s="400"/>
      <c r="C677" s="399"/>
      <c r="D677" s="398"/>
      <c r="E677" s="397"/>
    </row>
    <row r="678" spans="1:5">
      <c r="A678" s="401"/>
      <c r="B678" s="400"/>
      <c r="C678" s="399"/>
      <c r="D678" s="398"/>
      <c r="E678" s="397"/>
    </row>
    <row r="679" spans="1:5">
      <c r="A679" s="401"/>
      <c r="B679" s="400"/>
      <c r="C679" s="399"/>
      <c r="D679" s="398"/>
      <c r="E679" s="397"/>
    </row>
    <row r="680" spans="1:5">
      <c r="A680" s="401"/>
      <c r="B680" s="400"/>
      <c r="C680" s="399"/>
      <c r="D680" s="398"/>
      <c r="E680" s="397"/>
    </row>
    <row r="681" spans="1:5">
      <c r="A681" s="401"/>
      <c r="B681" s="400"/>
      <c r="C681" s="399"/>
      <c r="D681" s="398"/>
      <c r="E681" s="397"/>
    </row>
    <row r="682" spans="1:5">
      <c r="A682" s="401"/>
      <c r="B682" s="400"/>
      <c r="C682" s="399"/>
      <c r="D682" s="398"/>
      <c r="E682" s="397"/>
    </row>
    <row r="683" spans="1:5">
      <c r="A683" s="401"/>
      <c r="B683" s="400"/>
      <c r="C683" s="399"/>
      <c r="D683" s="398"/>
      <c r="E683" s="397"/>
    </row>
    <row r="684" spans="1:5">
      <c r="A684" s="401"/>
      <c r="B684" s="400"/>
      <c r="C684" s="399"/>
      <c r="D684" s="398"/>
      <c r="E684" s="397"/>
    </row>
    <row r="685" spans="1:5">
      <c r="A685" s="401"/>
      <c r="B685" s="400"/>
      <c r="C685" s="399"/>
      <c r="D685" s="398"/>
      <c r="E685" s="397"/>
    </row>
    <row r="686" spans="1:5">
      <c r="A686" s="401"/>
      <c r="B686" s="400"/>
      <c r="C686" s="399"/>
      <c r="D686" s="398"/>
      <c r="E686" s="397"/>
    </row>
    <row r="687" spans="1:5">
      <c r="A687" s="401"/>
      <c r="B687" s="400"/>
      <c r="C687" s="399"/>
      <c r="D687" s="398"/>
      <c r="E687" s="397"/>
    </row>
    <row r="688" spans="1:5">
      <c r="A688" s="401"/>
      <c r="B688" s="400"/>
      <c r="C688" s="399"/>
      <c r="D688" s="398"/>
      <c r="E688" s="397"/>
    </row>
    <row r="689" spans="1:5">
      <c r="A689" s="401"/>
      <c r="B689" s="400"/>
      <c r="C689" s="399"/>
      <c r="D689" s="398"/>
      <c r="E689" s="397"/>
    </row>
    <row r="690" spans="1:5">
      <c r="A690" s="401"/>
      <c r="B690" s="400"/>
      <c r="C690" s="399"/>
      <c r="D690" s="398"/>
      <c r="E690" s="397"/>
    </row>
    <row r="691" spans="1:5">
      <c r="A691" s="401"/>
      <c r="B691" s="400"/>
      <c r="C691" s="399"/>
      <c r="D691" s="398"/>
      <c r="E691" s="397"/>
    </row>
    <row r="692" spans="1:5">
      <c r="A692" s="401"/>
      <c r="B692" s="400"/>
      <c r="C692" s="399"/>
      <c r="D692" s="398"/>
      <c r="E692" s="397"/>
    </row>
    <row r="693" spans="1:5">
      <c r="A693" s="401"/>
      <c r="B693" s="400"/>
      <c r="C693" s="399"/>
      <c r="D693" s="398"/>
      <c r="E693" s="397"/>
    </row>
    <row r="694" spans="1:5">
      <c r="A694" s="401"/>
      <c r="B694" s="400"/>
      <c r="C694" s="399"/>
      <c r="D694" s="398"/>
      <c r="E694" s="397"/>
    </row>
    <row r="695" spans="1:5">
      <c r="A695" s="401"/>
      <c r="B695" s="400"/>
      <c r="C695" s="399"/>
      <c r="D695" s="398"/>
      <c r="E695" s="397"/>
    </row>
    <row r="696" spans="1:5">
      <c r="A696" s="401"/>
      <c r="B696" s="400"/>
      <c r="C696" s="399"/>
      <c r="D696" s="398"/>
      <c r="E696" s="397"/>
    </row>
    <row r="697" spans="1:5">
      <c r="A697" s="401"/>
      <c r="B697" s="400"/>
      <c r="C697" s="399"/>
      <c r="D697" s="398"/>
      <c r="E697" s="397"/>
    </row>
    <row r="698" spans="1:5">
      <c r="A698" s="401"/>
      <c r="B698" s="400"/>
      <c r="C698" s="399"/>
      <c r="D698" s="398"/>
      <c r="E698" s="397"/>
    </row>
    <row r="699" spans="1:5">
      <c r="A699" s="401"/>
      <c r="B699" s="400"/>
      <c r="C699" s="399"/>
      <c r="D699" s="398"/>
      <c r="E699" s="397"/>
    </row>
    <row r="700" spans="1:5">
      <c r="A700" s="401"/>
      <c r="B700" s="400"/>
      <c r="C700" s="399"/>
      <c r="D700" s="398"/>
      <c r="E700" s="397"/>
    </row>
    <row r="701" spans="1:5">
      <c r="A701" s="401"/>
      <c r="B701" s="400"/>
      <c r="C701" s="399"/>
      <c r="D701" s="398"/>
      <c r="E701" s="397"/>
    </row>
    <row r="702" spans="1:5">
      <c r="A702" s="401"/>
      <c r="B702" s="400"/>
      <c r="C702" s="399"/>
      <c r="D702" s="398"/>
      <c r="E702" s="397"/>
    </row>
    <row r="703" spans="1:5">
      <c r="A703" s="401"/>
      <c r="B703" s="400"/>
      <c r="C703" s="399"/>
      <c r="D703" s="398"/>
      <c r="E703" s="397"/>
    </row>
    <row r="704" spans="1:5">
      <c r="A704" s="401"/>
      <c r="B704" s="400"/>
      <c r="C704" s="399"/>
      <c r="D704" s="398"/>
      <c r="E704" s="397"/>
    </row>
    <row r="705" spans="1:5">
      <c r="A705" s="401"/>
      <c r="B705" s="400"/>
      <c r="C705" s="399"/>
      <c r="D705" s="398"/>
      <c r="E705" s="397"/>
    </row>
    <row r="706" spans="1:5">
      <c r="A706" s="401"/>
      <c r="B706" s="400"/>
      <c r="C706" s="399"/>
      <c r="D706" s="398"/>
      <c r="E706" s="397"/>
    </row>
    <row r="707" spans="1:5">
      <c r="A707" s="401"/>
      <c r="B707" s="400"/>
      <c r="C707" s="399"/>
      <c r="D707" s="398"/>
      <c r="E707" s="397"/>
    </row>
    <row r="708" spans="1:5">
      <c r="A708" s="401"/>
      <c r="B708" s="400"/>
      <c r="C708" s="399"/>
      <c r="D708" s="398"/>
      <c r="E708" s="397"/>
    </row>
    <row r="709" spans="1:5">
      <c r="A709" s="401"/>
      <c r="B709" s="400"/>
      <c r="C709" s="399"/>
      <c r="D709" s="398"/>
      <c r="E709" s="397"/>
    </row>
    <row r="710" spans="1:5">
      <c r="A710" s="401"/>
      <c r="B710" s="400"/>
      <c r="C710" s="399"/>
      <c r="D710" s="398"/>
      <c r="E710" s="397"/>
    </row>
    <row r="711" spans="1:5">
      <c r="A711" s="401"/>
      <c r="B711" s="400"/>
      <c r="C711" s="399"/>
      <c r="D711" s="398"/>
      <c r="E711" s="397"/>
    </row>
    <row r="712" spans="1:5">
      <c r="A712" s="401"/>
      <c r="B712" s="400"/>
      <c r="C712" s="399"/>
      <c r="D712" s="398"/>
      <c r="E712" s="397"/>
    </row>
    <row r="713" spans="1:5">
      <c r="A713" s="401"/>
      <c r="B713" s="400"/>
      <c r="C713" s="399"/>
      <c r="D713" s="398"/>
      <c r="E713" s="397"/>
    </row>
    <row r="714" spans="1:5">
      <c r="A714" s="401"/>
      <c r="B714" s="400"/>
      <c r="C714" s="399"/>
      <c r="D714" s="398"/>
      <c r="E714" s="397"/>
    </row>
    <row r="715" spans="1:5">
      <c r="A715" s="401"/>
      <c r="B715" s="400"/>
      <c r="C715" s="399"/>
      <c r="D715" s="398"/>
      <c r="E715" s="397"/>
    </row>
    <row r="716" spans="1:5">
      <c r="A716" s="401"/>
      <c r="B716" s="400"/>
      <c r="C716" s="399"/>
      <c r="D716" s="398"/>
      <c r="E716" s="397"/>
    </row>
    <row r="717" spans="1:5">
      <c r="A717" s="401"/>
      <c r="B717" s="400"/>
      <c r="C717" s="399"/>
      <c r="D717" s="398"/>
      <c r="E717" s="397"/>
    </row>
    <row r="718" spans="1:5">
      <c r="A718" s="401"/>
      <c r="B718" s="400"/>
      <c r="C718" s="399"/>
      <c r="D718" s="398"/>
      <c r="E718" s="397"/>
    </row>
    <row r="719" spans="1:5">
      <c r="A719" s="401"/>
      <c r="B719" s="400"/>
      <c r="C719" s="399"/>
      <c r="D719" s="398"/>
      <c r="E719" s="397"/>
    </row>
    <row r="720" spans="1:5">
      <c r="A720" s="401"/>
      <c r="B720" s="400"/>
      <c r="C720" s="399"/>
      <c r="D720" s="398"/>
      <c r="E720" s="397"/>
    </row>
    <row r="721" spans="1:5">
      <c r="A721" s="401"/>
      <c r="B721" s="400"/>
      <c r="C721" s="399"/>
      <c r="D721" s="398"/>
      <c r="E721" s="397"/>
    </row>
    <row r="722" spans="1:5">
      <c r="A722" s="401"/>
      <c r="B722" s="400"/>
      <c r="C722" s="399"/>
      <c r="D722" s="398"/>
      <c r="E722" s="397"/>
    </row>
    <row r="723" spans="1:5">
      <c r="A723" s="401"/>
      <c r="B723" s="400"/>
      <c r="C723" s="399"/>
      <c r="D723" s="398"/>
      <c r="E723" s="397"/>
    </row>
    <row r="724" spans="1:5">
      <c r="A724" s="401"/>
      <c r="B724" s="400"/>
      <c r="C724" s="399"/>
      <c r="D724" s="398"/>
      <c r="E724" s="397"/>
    </row>
    <row r="725" spans="1:5">
      <c r="A725" s="401"/>
      <c r="B725" s="400"/>
      <c r="C725" s="399"/>
      <c r="D725" s="398"/>
      <c r="E725" s="397"/>
    </row>
    <row r="726" spans="1:5">
      <c r="A726" s="401"/>
      <c r="B726" s="400"/>
      <c r="C726" s="399"/>
      <c r="D726" s="398"/>
      <c r="E726" s="397"/>
    </row>
    <row r="727" spans="1:5">
      <c r="A727" s="401"/>
      <c r="B727" s="400"/>
      <c r="C727" s="399"/>
      <c r="D727" s="398"/>
      <c r="E727" s="397"/>
    </row>
    <row r="728" spans="1:5">
      <c r="A728" s="401"/>
      <c r="B728" s="400"/>
      <c r="C728" s="399"/>
      <c r="D728" s="398"/>
      <c r="E728" s="397"/>
    </row>
    <row r="729" spans="1:5">
      <c r="A729" s="401"/>
      <c r="B729" s="400"/>
      <c r="C729" s="399"/>
      <c r="D729" s="398"/>
      <c r="E729" s="397"/>
    </row>
    <row r="730" spans="1:5">
      <c r="A730" s="401"/>
      <c r="B730" s="400"/>
      <c r="C730" s="399"/>
      <c r="D730" s="398"/>
      <c r="E730" s="397"/>
    </row>
    <row r="731" spans="1:5">
      <c r="A731" s="401"/>
      <c r="B731" s="400"/>
      <c r="C731" s="399"/>
      <c r="D731" s="398"/>
      <c r="E731" s="397"/>
    </row>
    <row r="732" spans="1:5">
      <c r="A732" s="401"/>
      <c r="B732" s="400"/>
      <c r="C732" s="399"/>
      <c r="D732" s="398"/>
      <c r="E732" s="397"/>
    </row>
    <row r="733" spans="1:5">
      <c r="A733" s="401"/>
      <c r="B733" s="400"/>
      <c r="C733" s="399"/>
      <c r="D733" s="398"/>
      <c r="E733" s="397"/>
    </row>
    <row r="734" spans="1:5">
      <c r="A734" s="401"/>
      <c r="B734" s="400"/>
      <c r="C734" s="399"/>
      <c r="D734" s="398"/>
      <c r="E734" s="397"/>
    </row>
    <row r="735" spans="1:5">
      <c r="A735" s="401"/>
      <c r="B735" s="400"/>
      <c r="C735" s="399"/>
      <c r="D735" s="398"/>
      <c r="E735" s="397"/>
    </row>
    <row r="736" spans="1:5">
      <c r="A736" s="401"/>
      <c r="B736" s="400"/>
      <c r="C736" s="399"/>
      <c r="D736" s="398"/>
      <c r="E736" s="397"/>
    </row>
    <row r="737" spans="1:5">
      <c r="A737" s="401"/>
      <c r="B737" s="400"/>
      <c r="C737" s="399"/>
      <c r="D737" s="398"/>
      <c r="E737" s="397"/>
    </row>
    <row r="738" spans="1:5">
      <c r="A738" s="401"/>
      <c r="B738" s="400"/>
      <c r="C738" s="399"/>
      <c r="D738" s="398"/>
      <c r="E738" s="397"/>
    </row>
    <row r="739" spans="1:5">
      <c r="A739" s="401"/>
      <c r="B739" s="400"/>
      <c r="C739" s="399"/>
      <c r="D739" s="398"/>
      <c r="E739" s="397"/>
    </row>
    <row r="740" spans="1:5">
      <c r="A740" s="401"/>
      <c r="B740" s="400"/>
      <c r="C740" s="399"/>
      <c r="D740" s="398"/>
      <c r="E740" s="397"/>
    </row>
    <row r="741" spans="1:5">
      <c r="A741" s="401"/>
      <c r="B741" s="400"/>
      <c r="C741" s="399"/>
      <c r="D741" s="398"/>
      <c r="E741" s="397"/>
    </row>
    <row r="742" spans="1:5">
      <c r="A742" s="401"/>
      <c r="B742" s="400"/>
      <c r="C742" s="399"/>
      <c r="D742" s="398"/>
      <c r="E742" s="397"/>
    </row>
    <row r="743" spans="1:5">
      <c r="A743" s="401"/>
      <c r="B743" s="400"/>
      <c r="C743" s="399"/>
      <c r="D743" s="398"/>
      <c r="E743" s="397"/>
    </row>
    <row r="744" spans="1:5">
      <c r="A744" s="401"/>
      <c r="B744" s="400"/>
      <c r="C744" s="399"/>
      <c r="D744" s="398"/>
      <c r="E744" s="397"/>
    </row>
    <row r="745" spans="1:5">
      <c r="A745" s="401"/>
      <c r="B745" s="400"/>
      <c r="C745" s="399"/>
      <c r="D745" s="398"/>
      <c r="E745" s="397"/>
    </row>
    <row r="746" spans="1:5">
      <c r="A746" s="401"/>
      <c r="B746" s="400"/>
      <c r="C746" s="399"/>
      <c r="D746" s="398"/>
      <c r="E746" s="397"/>
    </row>
    <row r="747" spans="1:5">
      <c r="A747" s="401"/>
      <c r="B747" s="400"/>
      <c r="C747" s="399"/>
      <c r="D747" s="398"/>
      <c r="E747" s="397"/>
    </row>
    <row r="748" spans="1:5">
      <c r="A748" s="401"/>
      <c r="B748" s="400"/>
      <c r="C748" s="399"/>
      <c r="D748" s="398"/>
      <c r="E748" s="397"/>
    </row>
    <row r="749" spans="1:5">
      <c r="A749" s="401"/>
      <c r="B749" s="400"/>
      <c r="C749" s="399"/>
      <c r="D749" s="398"/>
      <c r="E749" s="397"/>
    </row>
    <row r="750" spans="1:5">
      <c r="A750" s="401"/>
      <c r="B750" s="400"/>
      <c r="C750" s="399"/>
      <c r="D750" s="398"/>
      <c r="E750" s="397"/>
    </row>
    <row r="751" spans="1:5">
      <c r="A751" s="401"/>
      <c r="B751" s="400"/>
      <c r="C751" s="399"/>
      <c r="D751" s="398"/>
      <c r="E751" s="397"/>
    </row>
    <row r="752" spans="1:5">
      <c r="A752" s="401"/>
      <c r="B752" s="400"/>
      <c r="C752" s="399"/>
      <c r="D752" s="398"/>
      <c r="E752" s="397"/>
    </row>
    <row r="753" spans="1:5">
      <c r="A753" s="401"/>
      <c r="B753" s="400"/>
      <c r="C753" s="399"/>
      <c r="D753" s="398"/>
      <c r="E753" s="397"/>
    </row>
    <row r="754" spans="1:5">
      <c r="A754" s="401"/>
      <c r="B754" s="400"/>
      <c r="C754" s="399"/>
      <c r="D754" s="398"/>
      <c r="E754" s="397"/>
    </row>
    <row r="755" spans="1:5">
      <c r="A755" s="401"/>
      <c r="B755" s="400"/>
      <c r="C755" s="399"/>
      <c r="D755" s="398"/>
      <c r="E755" s="397"/>
    </row>
    <row r="756" spans="1:5">
      <c r="A756" s="401"/>
      <c r="B756" s="400"/>
      <c r="C756" s="399"/>
      <c r="D756" s="398"/>
      <c r="E756" s="397"/>
    </row>
    <row r="757" spans="1:5">
      <c r="A757" s="401"/>
      <c r="B757" s="400"/>
      <c r="C757" s="399"/>
      <c r="D757" s="398"/>
      <c r="E757" s="397"/>
    </row>
    <row r="758" spans="1:5">
      <c r="A758" s="401"/>
      <c r="B758" s="400"/>
      <c r="C758" s="399"/>
      <c r="D758" s="398"/>
      <c r="E758" s="397"/>
    </row>
    <row r="759" spans="1:5">
      <c r="A759" s="401"/>
      <c r="B759" s="400"/>
      <c r="C759" s="399"/>
      <c r="D759" s="398"/>
      <c r="E759" s="397"/>
    </row>
    <row r="760" spans="1:5">
      <c r="A760" s="401"/>
      <c r="B760" s="400"/>
      <c r="C760" s="399"/>
      <c r="D760" s="398"/>
      <c r="E760" s="397"/>
    </row>
    <row r="761" spans="1:5">
      <c r="A761" s="401"/>
      <c r="B761" s="400"/>
      <c r="C761" s="399"/>
      <c r="D761" s="398"/>
      <c r="E761" s="397"/>
    </row>
    <row r="762" spans="1:5">
      <c r="A762" s="401"/>
      <c r="B762" s="400"/>
      <c r="C762" s="399"/>
      <c r="D762" s="398"/>
      <c r="E762" s="397"/>
    </row>
    <row r="763" spans="1:5">
      <c r="A763" s="401"/>
      <c r="B763" s="400"/>
      <c r="C763" s="399"/>
      <c r="D763" s="398"/>
      <c r="E763" s="397"/>
    </row>
    <row r="764" spans="1:5">
      <c r="A764" s="401"/>
      <c r="B764" s="400"/>
      <c r="C764" s="399"/>
      <c r="D764" s="398"/>
      <c r="E764" s="397"/>
    </row>
    <row r="765" spans="1:5">
      <c r="A765" s="401"/>
      <c r="B765" s="400"/>
      <c r="C765" s="399"/>
      <c r="D765" s="398"/>
      <c r="E765" s="397"/>
    </row>
    <row r="766" spans="1:5">
      <c r="A766" s="401"/>
      <c r="B766" s="400"/>
      <c r="C766" s="399"/>
      <c r="D766" s="398"/>
      <c r="E766" s="397"/>
    </row>
    <row r="767" spans="1:5">
      <c r="A767" s="401"/>
      <c r="B767" s="400"/>
      <c r="C767" s="399"/>
      <c r="D767" s="398"/>
      <c r="E767" s="397"/>
    </row>
    <row r="768" spans="1:5">
      <c r="A768" s="401"/>
      <c r="B768" s="400"/>
      <c r="C768" s="399"/>
      <c r="D768" s="398"/>
      <c r="E768" s="397"/>
    </row>
    <row r="769" spans="1:5">
      <c r="A769" s="401"/>
      <c r="B769" s="400"/>
      <c r="C769" s="399"/>
      <c r="D769" s="398"/>
      <c r="E769" s="397"/>
    </row>
    <row r="770" spans="1:5">
      <c r="A770" s="401"/>
      <c r="B770" s="400"/>
      <c r="C770" s="399"/>
      <c r="D770" s="398"/>
      <c r="E770" s="397"/>
    </row>
    <row r="771" spans="1:5">
      <c r="A771" s="401"/>
      <c r="B771" s="400"/>
      <c r="C771" s="399"/>
      <c r="D771" s="398"/>
      <c r="E771" s="397"/>
    </row>
    <row r="772" spans="1:5">
      <c r="A772" s="401"/>
      <c r="B772" s="400"/>
      <c r="C772" s="399"/>
      <c r="D772" s="398"/>
      <c r="E772" s="397"/>
    </row>
    <row r="773" spans="1:5">
      <c r="A773" s="401"/>
      <c r="B773" s="400"/>
      <c r="C773" s="399"/>
      <c r="D773" s="398"/>
      <c r="E773" s="397"/>
    </row>
    <row r="774" spans="1:5">
      <c r="A774" s="401"/>
      <c r="B774" s="400"/>
      <c r="C774" s="399"/>
      <c r="D774" s="398"/>
      <c r="E774" s="397"/>
    </row>
    <row r="775" spans="1:5">
      <c r="A775" s="401"/>
      <c r="B775" s="400"/>
      <c r="C775" s="399"/>
      <c r="D775" s="398"/>
      <c r="E775" s="397"/>
    </row>
    <row r="776" spans="1:5">
      <c r="A776" s="401"/>
      <c r="B776" s="400"/>
      <c r="C776" s="399"/>
      <c r="D776" s="398"/>
      <c r="E776" s="397"/>
    </row>
    <row r="777" spans="1:5">
      <c r="A777" s="401"/>
      <c r="B777" s="400"/>
      <c r="C777" s="399"/>
      <c r="D777" s="398"/>
      <c r="E777" s="397"/>
    </row>
    <row r="778" spans="1:5">
      <c r="A778" s="401"/>
      <c r="B778" s="400"/>
      <c r="C778" s="399"/>
      <c r="D778" s="398"/>
      <c r="E778" s="397"/>
    </row>
    <row r="779" spans="1:5">
      <c r="A779" s="401"/>
      <c r="B779" s="400"/>
      <c r="C779" s="399"/>
      <c r="D779" s="398"/>
      <c r="E779" s="397"/>
    </row>
    <row r="780" spans="1:5">
      <c r="A780" s="401"/>
      <c r="B780" s="400"/>
      <c r="C780" s="399"/>
      <c r="D780" s="398"/>
      <c r="E780" s="397"/>
    </row>
    <row r="781" spans="1:5">
      <c r="A781" s="401"/>
      <c r="B781" s="400"/>
      <c r="C781" s="399"/>
      <c r="D781" s="398"/>
      <c r="E781" s="397"/>
    </row>
    <row r="782" spans="1:5">
      <c r="A782" s="401"/>
      <c r="B782" s="400"/>
      <c r="C782" s="399"/>
      <c r="D782" s="398"/>
      <c r="E782" s="397"/>
    </row>
    <row r="783" spans="1:5">
      <c r="A783" s="401"/>
      <c r="B783" s="400"/>
      <c r="C783" s="399"/>
      <c r="D783" s="398"/>
      <c r="E783" s="397"/>
    </row>
    <row r="784" spans="1:5">
      <c r="A784" s="401"/>
      <c r="B784" s="400"/>
      <c r="C784" s="399"/>
      <c r="D784" s="398"/>
      <c r="E784" s="397"/>
    </row>
    <row r="785" spans="1:5">
      <c r="A785" s="401"/>
      <c r="B785" s="400"/>
      <c r="C785" s="399"/>
      <c r="D785" s="398"/>
      <c r="E785" s="397"/>
    </row>
    <row r="786" spans="1:5">
      <c r="A786" s="401"/>
      <c r="B786" s="400"/>
      <c r="C786" s="399"/>
      <c r="D786" s="398"/>
      <c r="E786" s="397"/>
    </row>
    <row r="787" spans="1:5">
      <c r="A787" s="401"/>
      <c r="B787" s="400"/>
      <c r="C787" s="399"/>
      <c r="D787" s="398"/>
      <c r="E787" s="397"/>
    </row>
    <row r="788" spans="1:5">
      <c r="A788" s="401"/>
      <c r="B788" s="400"/>
      <c r="C788" s="399"/>
      <c r="D788" s="398"/>
      <c r="E788" s="397"/>
    </row>
    <row r="789" spans="1:5">
      <c r="A789" s="401"/>
      <c r="B789" s="400"/>
      <c r="C789" s="399"/>
      <c r="D789" s="398"/>
      <c r="E789" s="397"/>
    </row>
    <row r="790" spans="1:5">
      <c r="A790" s="401"/>
      <c r="B790" s="400"/>
      <c r="C790" s="399"/>
      <c r="D790" s="398"/>
      <c r="E790" s="397"/>
    </row>
    <row r="791" spans="1:5">
      <c r="A791" s="401"/>
      <c r="B791" s="400"/>
      <c r="C791" s="399"/>
      <c r="D791" s="398"/>
      <c r="E791" s="397"/>
    </row>
    <row r="792" spans="1:5">
      <c r="A792" s="401"/>
      <c r="B792" s="400"/>
      <c r="C792" s="399"/>
      <c r="D792" s="398"/>
      <c r="E792" s="397"/>
    </row>
    <row r="793" spans="1:5">
      <c r="A793" s="401"/>
      <c r="B793" s="400"/>
      <c r="C793" s="399"/>
      <c r="D793" s="398"/>
      <c r="E793" s="397"/>
    </row>
    <row r="794" spans="1:5">
      <c r="A794" s="401"/>
      <c r="B794" s="400"/>
      <c r="C794" s="399"/>
      <c r="D794" s="398"/>
      <c r="E794" s="397"/>
    </row>
    <row r="795" spans="1:5">
      <c r="A795" s="401"/>
      <c r="B795" s="400"/>
      <c r="C795" s="399"/>
      <c r="D795" s="398"/>
      <c r="E795" s="397"/>
    </row>
    <row r="796" spans="1:5">
      <c r="A796" s="401"/>
      <c r="B796" s="400"/>
      <c r="C796" s="399"/>
      <c r="D796" s="398"/>
      <c r="E796" s="397"/>
    </row>
    <row r="797" spans="1:5">
      <c r="A797" s="401"/>
      <c r="B797" s="400"/>
      <c r="C797" s="399"/>
      <c r="D797" s="398"/>
      <c r="E797" s="397"/>
    </row>
    <row r="798" spans="1:5">
      <c r="A798" s="401"/>
      <c r="B798" s="400"/>
      <c r="C798" s="399"/>
      <c r="D798" s="398"/>
      <c r="E798" s="397"/>
    </row>
    <row r="799" spans="1:5">
      <c r="A799" s="401"/>
      <c r="B799" s="400"/>
      <c r="C799" s="399"/>
      <c r="D799" s="398"/>
      <c r="E799" s="397"/>
    </row>
    <row r="800" spans="1:5">
      <c r="A800" s="401"/>
      <c r="B800" s="400"/>
      <c r="C800" s="399"/>
      <c r="D800" s="398"/>
      <c r="E800" s="397"/>
    </row>
    <row r="801" spans="1:5">
      <c r="A801" s="401"/>
      <c r="B801" s="400"/>
      <c r="C801" s="399"/>
      <c r="D801" s="398"/>
      <c r="E801" s="397"/>
    </row>
    <row r="802" spans="1:5">
      <c r="A802" s="401"/>
      <c r="B802" s="400"/>
      <c r="C802" s="399"/>
      <c r="D802" s="398"/>
      <c r="E802" s="397"/>
    </row>
    <row r="803" spans="1:5">
      <c r="A803" s="401"/>
      <c r="B803" s="400"/>
      <c r="C803" s="399"/>
      <c r="D803" s="398"/>
      <c r="E803" s="397"/>
    </row>
    <row r="804" spans="1:5">
      <c r="A804" s="401"/>
      <c r="B804" s="400"/>
      <c r="C804" s="399"/>
      <c r="D804" s="398"/>
      <c r="E804" s="397"/>
    </row>
    <row r="805" spans="1:5">
      <c r="A805" s="401"/>
      <c r="B805" s="400"/>
      <c r="C805" s="399"/>
      <c r="D805" s="398"/>
      <c r="E805" s="397"/>
    </row>
    <row r="806" spans="1:5">
      <c r="A806" s="401"/>
      <c r="B806" s="400"/>
      <c r="C806" s="399"/>
      <c r="D806" s="398"/>
      <c r="E806" s="397"/>
    </row>
    <row r="807" spans="1:5">
      <c r="A807" s="401"/>
      <c r="B807" s="400"/>
      <c r="C807" s="399"/>
      <c r="D807" s="398"/>
      <c r="E807" s="397"/>
    </row>
    <row r="808" spans="1:5">
      <c r="A808" s="401"/>
      <c r="B808" s="400"/>
      <c r="C808" s="399"/>
      <c r="D808" s="398"/>
      <c r="E808" s="397"/>
    </row>
    <row r="809" spans="1:5">
      <c r="A809" s="401"/>
      <c r="B809" s="400"/>
      <c r="C809" s="399"/>
      <c r="D809" s="398"/>
      <c r="E809" s="397"/>
    </row>
    <row r="810" spans="1:5">
      <c r="A810" s="401"/>
      <c r="B810" s="400"/>
      <c r="C810" s="399"/>
      <c r="D810" s="398"/>
      <c r="E810" s="397"/>
    </row>
    <row r="811" spans="1:5">
      <c r="A811" s="401"/>
      <c r="B811" s="400"/>
      <c r="C811" s="399"/>
      <c r="D811" s="398"/>
      <c r="E811" s="397"/>
    </row>
    <row r="812" spans="1:5">
      <c r="A812" s="401"/>
      <c r="B812" s="400"/>
      <c r="C812" s="399"/>
      <c r="D812" s="398"/>
      <c r="E812" s="397"/>
    </row>
    <row r="813" spans="1:5">
      <c r="A813" s="401"/>
      <c r="B813" s="400"/>
      <c r="C813" s="399"/>
      <c r="D813" s="398"/>
      <c r="E813" s="397"/>
    </row>
    <row r="814" spans="1:5">
      <c r="A814" s="401"/>
      <c r="B814" s="400"/>
      <c r="C814" s="399"/>
      <c r="D814" s="398"/>
      <c r="E814" s="397"/>
    </row>
    <row r="815" spans="1:5">
      <c r="A815" s="401"/>
      <c r="B815" s="400"/>
      <c r="C815" s="399"/>
      <c r="D815" s="398"/>
      <c r="E815" s="397"/>
    </row>
    <row r="816" spans="1:5">
      <c r="A816" s="401"/>
      <c r="B816" s="400"/>
      <c r="C816" s="399"/>
      <c r="D816" s="398"/>
      <c r="E816" s="397"/>
    </row>
    <row r="817" spans="1:5">
      <c r="A817" s="401"/>
      <c r="B817" s="400"/>
      <c r="C817" s="399"/>
      <c r="D817" s="398"/>
      <c r="E817" s="397"/>
    </row>
    <row r="818" spans="1:5">
      <c r="A818" s="401"/>
      <c r="B818" s="400"/>
      <c r="C818" s="399"/>
      <c r="D818" s="398"/>
      <c r="E818" s="397"/>
    </row>
    <row r="819" spans="1:5">
      <c r="A819" s="401"/>
      <c r="B819" s="400"/>
      <c r="C819" s="399"/>
      <c r="D819" s="398"/>
      <c r="E819" s="397"/>
    </row>
    <row r="820" spans="1:5">
      <c r="A820" s="401"/>
      <c r="B820" s="400"/>
      <c r="C820" s="399"/>
      <c r="D820" s="398"/>
      <c r="E820" s="397"/>
    </row>
    <row r="821" spans="1:5">
      <c r="A821" s="401"/>
      <c r="B821" s="400"/>
      <c r="C821" s="399"/>
      <c r="D821" s="398"/>
      <c r="E821" s="397"/>
    </row>
    <row r="822" spans="1:5">
      <c r="A822" s="401"/>
      <c r="B822" s="400"/>
      <c r="C822" s="399"/>
      <c r="D822" s="398"/>
      <c r="E822" s="397"/>
    </row>
    <row r="823" spans="1:5">
      <c r="A823" s="401"/>
      <c r="B823" s="400"/>
      <c r="C823" s="399"/>
      <c r="D823" s="398"/>
      <c r="E823" s="397"/>
    </row>
    <row r="824" spans="1:5">
      <c r="A824" s="401"/>
      <c r="B824" s="400"/>
      <c r="C824" s="399"/>
      <c r="D824" s="398"/>
      <c r="E824" s="397"/>
    </row>
    <row r="825" spans="1:5">
      <c r="A825" s="401"/>
      <c r="B825" s="400"/>
      <c r="C825" s="399"/>
      <c r="D825" s="398"/>
      <c r="E825" s="397"/>
    </row>
    <row r="826" spans="1:5">
      <c r="A826" s="401"/>
      <c r="B826" s="400"/>
      <c r="C826" s="399"/>
      <c r="D826" s="398"/>
      <c r="E826" s="397"/>
    </row>
    <row r="827" spans="1:5">
      <c r="A827" s="401"/>
      <c r="B827" s="400"/>
      <c r="C827" s="399"/>
      <c r="D827" s="398"/>
      <c r="E827" s="397"/>
    </row>
    <row r="828" spans="1:5">
      <c r="A828" s="401"/>
      <c r="B828" s="400"/>
      <c r="C828" s="399"/>
      <c r="D828" s="398"/>
      <c r="E828" s="397"/>
    </row>
    <row r="829" spans="1:5">
      <c r="A829" s="401"/>
      <c r="B829" s="400"/>
      <c r="C829" s="399"/>
      <c r="D829" s="398"/>
      <c r="E829" s="397"/>
    </row>
    <row r="830" spans="1:5">
      <c r="A830" s="401"/>
      <c r="B830" s="400"/>
      <c r="C830" s="399"/>
      <c r="D830" s="398"/>
      <c r="E830" s="397"/>
    </row>
    <row r="831" spans="1:5">
      <c r="A831" s="401"/>
      <c r="B831" s="400"/>
      <c r="C831" s="399"/>
      <c r="D831" s="398"/>
      <c r="E831" s="397"/>
    </row>
    <row r="832" spans="1:5">
      <c r="A832" s="401"/>
      <c r="B832" s="400"/>
      <c r="C832" s="399"/>
      <c r="D832" s="398"/>
      <c r="E832" s="397"/>
    </row>
    <row r="833" spans="1:5">
      <c r="A833" s="401"/>
      <c r="B833" s="400"/>
      <c r="C833" s="399"/>
      <c r="D833" s="398"/>
      <c r="E833" s="397"/>
    </row>
    <row r="834" spans="1:5">
      <c r="A834" s="401"/>
      <c r="B834" s="400"/>
      <c r="C834" s="399"/>
      <c r="D834" s="398"/>
      <c r="E834" s="397"/>
    </row>
    <row r="835" spans="1:5">
      <c r="A835" s="401"/>
      <c r="B835" s="400"/>
      <c r="C835" s="399"/>
      <c r="D835" s="398"/>
      <c r="E835" s="397"/>
    </row>
    <row r="836" spans="1:5">
      <c r="A836" s="401"/>
      <c r="B836" s="400"/>
      <c r="C836" s="399"/>
      <c r="D836" s="398"/>
      <c r="E836" s="397"/>
    </row>
    <row r="837" spans="1:5">
      <c r="A837" s="401"/>
      <c r="B837" s="400"/>
      <c r="C837" s="399"/>
      <c r="D837" s="398"/>
      <c r="E837" s="397"/>
    </row>
    <row r="838" spans="1:5">
      <c r="A838" s="401"/>
      <c r="B838" s="400"/>
      <c r="C838" s="399"/>
      <c r="D838" s="398"/>
      <c r="E838" s="397"/>
    </row>
    <row r="839" spans="1:5">
      <c r="A839" s="401"/>
      <c r="B839" s="400"/>
      <c r="C839" s="399"/>
      <c r="D839" s="398"/>
      <c r="E839" s="397"/>
    </row>
    <row r="840" spans="1:5">
      <c r="A840" s="401"/>
      <c r="B840" s="400"/>
      <c r="C840" s="399"/>
      <c r="D840" s="398"/>
      <c r="E840" s="397"/>
    </row>
    <row r="841" spans="1:5">
      <c r="A841" s="401"/>
      <c r="B841" s="400"/>
      <c r="C841" s="399"/>
      <c r="D841" s="398"/>
      <c r="E841" s="397"/>
    </row>
    <row r="842" spans="1:5">
      <c r="A842" s="401"/>
      <c r="B842" s="400"/>
      <c r="C842" s="399"/>
      <c r="D842" s="398"/>
      <c r="E842" s="397"/>
    </row>
    <row r="843" spans="1:5">
      <c r="A843" s="401"/>
      <c r="B843" s="400"/>
      <c r="C843" s="399"/>
      <c r="D843" s="398"/>
      <c r="E843" s="397"/>
    </row>
    <row r="844" spans="1:5">
      <c r="A844" s="401"/>
      <c r="B844" s="400"/>
      <c r="C844" s="399"/>
      <c r="D844" s="398"/>
      <c r="E844" s="397"/>
    </row>
    <row r="845" spans="1:5">
      <c r="A845" s="401"/>
      <c r="B845" s="400"/>
      <c r="C845" s="399"/>
      <c r="D845" s="398"/>
      <c r="E845" s="397"/>
    </row>
    <row r="846" spans="1:5">
      <c r="A846" s="401"/>
      <c r="B846" s="400"/>
      <c r="C846" s="399"/>
      <c r="D846" s="398"/>
      <c r="E846" s="397"/>
    </row>
    <row r="847" spans="1:5">
      <c r="A847" s="401"/>
      <c r="B847" s="400"/>
      <c r="C847" s="399"/>
      <c r="D847" s="398"/>
      <c r="E847" s="397"/>
    </row>
    <row r="848" spans="1:5">
      <c r="A848" s="401"/>
      <c r="B848" s="400"/>
      <c r="C848" s="399"/>
      <c r="D848" s="398"/>
      <c r="E848" s="397"/>
    </row>
    <row r="849" spans="1:5">
      <c r="A849" s="401"/>
      <c r="B849" s="400"/>
      <c r="C849" s="399"/>
      <c r="D849" s="398"/>
      <c r="E849" s="397"/>
    </row>
    <row r="850" spans="1:5">
      <c r="A850" s="401"/>
      <c r="B850" s="400"/>
      <c r="C850" s="399"/>
      <c r="D850" s="398"/>
      <c r="E850" s="397"/>
    </row>
    <row r="851" spans="1:5">
      <c r="A851" s="401"/>
      <c r="B851" s="400"/>
      <c r="C851" s="399"/>
      <c r="D851" s="398"/>
      <c r="E851" s="397"/>
    </row>
    <row r="852" spans="1:5">
      <c r="A852" s="401"/>
      <c r="B852" s="400"/>
      <c r="C852" s="399"/>
      <c r="D852" s="398"/>
      <c r="E852" s="397"/>
    </row>
    <row r="853" spans="1:5">
      <c r="A853" s="401"/>
      <c r="B853" s="400"/>
      <c r="C853" s="399"/>
      <c r="D853" s="398"/>
      <c r="E853" s="397"/>
    </row>
    <row r="854" spans="1:5">
      <c r="A854" s="401"/>
      <c r="B854" s="400"/>
      <c r="C854" s="399"/>
      <c r="D854" s="398"/>
      <c r="E854" s="397"/>
    </row>
    <row r="855" spans="1:5">
      <c r="A855" s="401"/>
      <c r="B855" s="400"/>
      <c r="C855" s="399"/>
      <c r="D855" s="398"/>
      <c r="E855" s="397"/>
    </row>
    <row r="856" spans="1:5">
      <c r="A856" s="401"/>
      <c r="B856" s="400"/>
      <c r="C856" s="399"/>
      <c r="D856" s="398"/>
      <c r="E856" s="397"/>
    </row>
    <row r="857" spans="1:5">
      <c r="A857" s="401"/>
      <c r="B857" s="400"/>
      <c r="C857" s="399"/>
      <c r="D857" s="398"/>
      <c r="E857" s="397"/>
    </row>
    <row r="858" spans="1:5">
      <c r="A858" s="401"/>
      <c r="B858" s="400"/>
      <c r="C858" s="399"/>
      <c r="D858" s="398"/>
      <c r="E858" s="397"/>
    </row>
    <row r="859" spans="1:5">
      <c r="A859" s="401"/>
      <c r="B859" s="400"/>
      <c r="C859" s="399"/>
      <c r="D859" s="398"/>
      <c r="E859" s="397"/>
    </row>
    <row r="860" spans="1:5">
      <c r="A860" s="401"/>
      <c r="B860" s="400"/>
      <c r="C860" s="399"/>
      <c r="D860" s="398"/>
      <c r="E860" s="397"/>
    </row>
    <row r="861" spans="1:5">
      <c r="A861" s="401"/>
      <c r="B861" s="400"/>
      <c r="C861" s="399"/>
      <c r="D861" s="398"/>
      <c r="E861" s="397"/>
    </row>
    <row r="862" spans="1:5">
      <c r="A862" s="401"/>
      <c r="B862" s="400"/>
      <c r="C862" s="399"/>
      <c r="D862" s="398"/>
      <c r="E862" s="397"/>
    </row>
    <row r="863" spans="1:5">
      <c r="A863" s="401"/>
      <c r="B863" s="400"/>
      <c r="C863" s="399"/>
      <c r="D863" s="398"/>
      <c r="E863" s="397"/>
    </row>
    <row r="864" spans="1:5">
      <c r="A864" s="401"/>
      <c r="B864" s="400"/>
      <c r="C864" s="399"/>
      <c r="D864" s="398"/>
      <c r="E864" s="397"/>
    </row>
    <row r="865" spans="1:5">
      <c r="A865" s="401"/>
      <c r="B865" s="400"/>
      <c r="C865" s="399"/>
      <c r="D865" s="398"/>
      <c r="E865" s="397"/>
    </row>
    <row r="866" spans="1:5">
      <c r="A866" s="401"/>
      <c r="B866" s="400"/>
      <c r="C866" s="399"/>
      <c r="D866" s="398"/>
      <c r="E866" s="397"/>
    </row>
    <row r="867" spans="1:5">
      <c r="A867" s="401"/>
      <c r="B867" s="400"/>
      <c r="C867" s="399"/>
      <c r="D867" s="398"/>
      <c r="E867" s="397"/>
    </row>
    <row r="868" spans="1:5">
      <c r="A868" s="401"/>
      <c r="B868" s="400"/>
      <c r="C868" s="399"/>
      <c r="D868" s="398"/>
      <c r="E868" s="397"/>
    </row>
    <row r="869" spans="1:5">
      <c r="A869" s="401"/>
      <c r="B869" s="400"/>
      <c r="C869" s="399"/>
      <c r="D869" s="398"/>
      <c r="E869" s="397"/>
    </row>
    <row r="870" spans="1:5">
      <c r="A870" s="401"/>
      <c r="B870" s="400"/>
      <c r="C870" s="399"/>
      <c r="D870" s="398"/>
      <c r="E870" s="397"/>
    </row>
    <row r="871" spans="1:5">
      <c r="A871" s="401"/>
      <c r="B871" s="400"/>
      <c r="C871" s="399"/>
      <c r="D871" s="398"/>
      <c r="E871" s="397"/>
    </row>
    <row r="872" spans="1:5">
      <c r="A872" s="401"/>
      <c r="B872" s="400"/>
      <c r="C872" s="399"/>
      <c r="D872" s="398"/>
      <c r="E872" s="397"/>
    </row>
    <row r="873" spans="1:5">
      <c r="A873" s="401"/>
      <c r="B873" s="400"/>
      <c r="C873" s="399"/>
      <c r="D873" s="398"/>
      <c r="E873" s="397"/>
    </row>
    <row r="874" spans="1:5">
      <c r="A874" s="401"/>
      <c r="B874" s="400"/>
      <c r="C874" s="399"/>
      <c r="D874" s="398"/>
      <c r="E874" s="397"/>
    </row>
    <row r="875" spans="1:5">
      <c r="A875" s="401"/>
      <c r="B875" s="400"/>
      <c r="C875" s="399"/>
      <c r="D875" s="398"/>
      <c r="E875" s="397"/>
    </row>
    <row r="876" spans="1:5">
      <c r="A876" s="401"/>
      <c r="B876" s="400"/>
      <c r="C876" s="399"/>
      <c r="D876" s="398"/>
      <c r="E876" s="397"/>
    </row>
    <row r="877" spans="1:5">
      <c r="A877" s="401"/>
      <c r="B877" s="400"/>
      <c r="C877" s="399"/>
      <c r="D877" s="398"/>
      <c r="E877" s="397"/>
    </row>
    <row r="878" spans="1:5">
      <c r="A878" s="401"/>
      <c r="B878" s="400"/>
      <c r="C878" s="399"/>
      <c r="D878" s="398"/>
      <c r="E878" s="397"/>
    </row>
    <row r="879" spans="1:5">
      <c r="A879" s="401"/>
      <c r="B879" s="400"/>
      <c r="C879" s="399"/>
      <c r="D879" s="398"/>
      <c r="E879" s="397"/>
    </row>
    <row r="880" spans="1:5">
      <c r="A880" s="401"/>
      <c r="B880" s="400"/>
      <c r="C880" s="399"/>
      <c r="D880" s="398"/>
      <c r="E880" s="397"/>
    </row>
    <row r="881" spans="1:5">
      <c r="A881" s="401"/>
      <c r="B881" s="400"/>
      <c r="C881" s="399"/>
      <c r="D881" s="398"/>
      <c r="E881" s="397"/>
    </row>
    <row r="882" spans="1:5">
      <c r="A882" s="401"/>
      <c r="B882" s="400"/>
      <c r="C882" s="399"/>
      <c r="D882" s="398"/>
      <c r="E882" s="397"/>
    </row>
    <row r="883" spans="1:5">
      <c r="A883" s="401"/>
      <c r="B883" s="400"/>
      <c r="C883" s="399"/>
      <c r="D883" s="398"/>
      <c r="E883" s="397"/>
    </row>
    <row r="884" spans="1:5">
      <c r="A884" s="401"/>
      <c r="B884" s="400"/>
      <c r="C884" s="399"/>
      <c r="D884" s="398"/>
      <c r="E884" s="397"/>
    </row>
    <row r="885" spans="1:5">
      <c r="A885" s="401"/>
      <c r="B885" s="400"/>
      <c r="C885" s="399"/>
      <c r="D885" s="398"/>
      <c r="E885" s="397"/>
    </row>
    <row r="886" spans="1:5">
      <c r="A886" s="401"/>
      <c r="B886" s="400"/>
      <c r="C886" s="399"/>
      <c r="D886" s="398"/>
      <c r="E886" s="397"/>
    </row>
    <row r="887" spans="1:5">
      <c r="A887" s="401"/>
      <c r="B887" s="400"/>
      <c r="C887" s="399"/>
      <c r="D887" s="398"/>
      <c r="E887" s="397"/>
    </row>
    <row r="888" spans="1:5">
      <c r="A888" s="401"/>
      <c r="B888" s="400"/>
      <c r="C888" s="399"/>
      <c r="D888" s="398"/>
      <c r="E888" s="397"/>
    </row>
    <row r="889" spans="1:5">
      <c r="A889" s="401"/>
      <c r="B889" s="400"/>
      <c r="C889" s="399"/>
      <c r="D889" s="398"/>
      <c r="E889" s="397"/>
    </row>
    <row r="890" spans="1:5">
      <c r="A890" s="401"/>
      <c r="B890" s="400"/>
      <c r="C890" s="399"/>
      <c r="D890" s="398"/>
      <c r="E890" s="397"/>
    </row>
    <row r="891" spans="1:5">
      <c r="A891" s="401"/>
      <c r="B891" s="400"/>
      <c r="C891" s="399"/>
      <c r="D891" s="398"/>
      <c r="E891" s="397"/>
    </row>
    <row r="892" spans="1:5">
      <c r="A892" s="401"/>
      <c r="B892" s="400"/>
      <c r="C892" s="399"/>
      <c r="D892" s="398"/>
      <c r="E892" s="397"/>
    </row>
    <row r="893" spans="1:5">
      <c r="A893" s="401"/>
      <c r="B893" s="400"/>
      <c r="C893" s="399"/>
      <c r="D893" s="398"/>
      <c r="E893" s="397"/>
    </row>
    <row r="894" spans="1:5">
      <c r="A894" s="401"/>
      <c r="B894" s="400"/>
      <c r="C894" s="399"/>
      <c r="D894" s="398"/>
      <c r="E894" s="397"/>
    </row>
    <row r="895" spans="1:5">
      <c r="A895" s="401"/>
      <c r="B895" s="400"/>
      <c r="C895" s="399"/>
      <c r="D895" s="398"/>
      <c r="E895" s="397"/>
    </row>
    <row r="896" spans="1:5">
      <c r="A896" s="401"/>
      <c r="B896" s="400"/>
      <c r="C896" s="399"/>
      <c r="D896" s="398"/>
      <c r="E896" s="397"/>
    </row>
    <row r="897" spans="1:5">
      <c r="A897" s="401"/>
      <c r="B897" s="400"/>
      <c r="C897" s="399"/>
      <c r="D897" s="398"/>
      <c r="E897" s="397"/>
    </row>
    <row r="898" spans="1:5">
      <c r="A898" s="401"/>
      <c r="B898" s="400"/>
      <c r="C898" s="399"/>
      <c r="D898" s="398"/>
      <c r="E898" s="397"/>
    </row>
    <row r="899" spans="1:5">
      <c r="A899" s="401"/>
      <c r="B899" s="400"/>
      <c r="C899" s="399"/>
      <c r="D899" s="398"/>
      <c r="E899" s="397"/>
    </row>
    <row r="900" spans="1:5">
      <c r="A900" s="401"/>
      <c r="B900" s="400"/>
      <c r="C900" s="399"/>
      <c r="D900" s="398"/>
      <c r="E900" s="397"/>
    </row>
    <row r="901" spans="1:5">
      <c r="A901" s="401"/>
      <c r="B901" s="400"/>
      <c r="C901" s="399"/>
      <c r="D901" s="398"/>
      <c r="E901" s="397"/>
    </row>
    <row r="902" spans="1:5">
      <c r="A902" s="401"/>
      <c r="B902" s="400"/>
      <c r="C902" s="399"/>
      <c r="D902" s="398"/>
      <c r="E902" s="397"/>
    </row>
    <row r="903" spans="1:5">
      <c r="A903" s="401"/>
      <c r="B903" s="400"/>
      <c r="C903" s="399"/>
      <c r="D903" s="398"/>
      <c r="E903" s="397"/>
    </row>
    <row r="904" spans="1:5">
      <c r="A904" s="401"/>
      <c r="B904" s="400"/>
      <c r="C904" s="399"/>
      <c r="D904" s="398"/>
      <c r="E904" s="397"/>
    </row>
    <row r="905" spans="1:5">
      <c r="A905" s="401"/>
      <c r="B905" s="400"/>
      <c r="C905" s="399"/>
      <c r="D905" s="398"/>
      <c r="E905" s="397"/>
    </row>
    <row r="906" spans="1:5">
      <c r="A906" s="401"/>
      <c r="B906" s="400"/>
      <c r="C906" s="399"/>
      <c r="D906" s="398"/>
      <c r="E906" s="397"/>
    </row>
    <row r="907" spans="1:5">
      <c r="A907" s="401"/>
      <c r="B907" s="400"/>
      <c r="C907" s="399"/>
      <c r="D907" s="398"/>
      <c r="E907" s="397"/>
    </row>
    <row r="908" spans="1:5">
      <c r="A908" s="401"/>
      <c r="B908" s="400"/>
      <c r="C908" s="399"/>
      <c r="D908" s="398"/>
      <c r="E908" s="397"/>
    </row>
    <row r="909" spans="1:5">
      <c r="A909" s="401"/>
      <c r="B909" s="400"/>
      <c r="C909" s="399"/>
      <c r="D909" s="398"/>
      <c r="E909" s="397"/>
    </row>
    <row r="910" spans="1:5">
      <c r="A910" s="401"/>
      <c r="B910" s="400"/>
      <c r="C910" s="399"/>
      <c r="D910" s="398"/>
      <c r="E910" s="397"/>
    </row>
    <row r="911" spans="1:5">
      <c r="A911" s="401"/>
      <c r="B911" s="400"/>
      <c r="C911" s="399"/>
      <c r="D911" s="398"/>
      <c r="E911" s="397"/>
    </row>
    <row r="912" spans="1:5">
      <c r="A912" s="401"/>
      <c r="B912" s="400"/>
      <c r="C912" s="399"/>
      <c r="D912" s="398"/>
      <c r="E912" s="397"/>
    </row>
    <row r="913" spans="1:5">
      <c r="A913" s="401"/>
      <c r="B913" s="400"/>
      <c r="C913" s="399"/>
      <c r="D913" s="398"/>
      <c r="E913" s="397"/>
    </row>
    <row r="914" spans="1:5">
      <c r="A914" s="401"/>
      <c r="B914" s="400"/>
      <c r="C914" s="399"/>
      <c r="D914" s="398"/>
      <c r="E914" s="397"/>
    </row>
    <row r="915" spans="1:5">
      <c r="A915" s="401"/>
      <c r="B915" s="400"/>
      <c r="C915" s="399"/>
      <c r="D915" s="398"/>
      <c r="E915" s="397"/>
    </row>
    <row r="916" spans="1:5">
      <c r="A916" s="401"/>
      <c r="B916" s="400"/>
      <c r="C916" s="399"/>
      <c r="D916" s="398"/>
      <c r="E916" s="397"/>
    </row>
    <row r="917" spans="1:5">
      <c r="A917" s="401"/>
      <c r="B917" s="400"/>
      <c r="C917" s="399"/>
      <c r="D917" s="398"/>
      <c r="E917" s="397"/>
    </row>
    <row r="918" spans="1:5">
      <c r="A918" s="401"/>
      <c r="B918" s="400"/>
      <c r="C918" s="399"/>
      <c r="D918" s="398"/>
      <c r="E918" s="397"/>
    </row>
    <row r="919" spans="1:5">
      <c r="A919" s="401"/>
      <c r="B919" s="400"/>
      <c r="C919" s="399"/>
      <c r="D919" s="398"/>
      <c r="E919" s="397"/>
    </row>
    <row r="920" spans="1:5">
      <c r="A920" s="401"/>
      <c r="B920" s="400"/>
      <c r="C920" s="399"/>
      <c r="D920" s="398"/>
      <c r="E920" s="397"/>
    </row>
    <row r="921" spans="1:5">
      <c r="A921" s="401"/>
      <c r="B921" s="400"/>
      <c r="C921" s="399"/>
      <c r="D921" s="398"/>
      <c r="E921" s="397"/>
    </row>
    <row r="922" spans="1:5">
      <c r="A922" s="401"/>
      <c r="B922" s="400"/>
      <c r="C922" s="399"/>
      <c r="D922" s="398"/>
      <c r="E922" s="397"/>
    </row>
    <row r="923" spans="1:5">
      <c r="A923" s="401"/>
      <c r="B923" s="400"/>
      <c r="C923" s="399"/>
      <c r="D923" s="398"/>
      <c r="E923" s="397"/>
    </row>
    <row r="924" spans="1:5">
      <c r="A924" s="401"/>
      <c r="B924" s="400"/>
      <c r="C924" s="399"/>
      <c r="D924" s="398"/>
      <c r="E924" s="397"/>
    </row>
    <row r="925" spans="1:5">
      <c r="A925" s="401"/>
      <c r="B925" s="400"/>
      <c r="C925" s="399"/>
      <c r="D925" s="398"/>
      <c r="E925" s="397"/>
    </row>
    <row r="926" spans="1:5">
      <c r="A926" s="401"/>
      <c r="B926" s="400"/>
      <c r="C926" s="399"/>
      <c r="D926" s="398"/>
      <c r="E926" s="397"/>
    </row>
    <row r="927" spans="1:5">
      <c r="A927" s="401"/>
      <c r="B927" s="400"/>
      <c r="C927" s="399"/>
      <c r="D927" s="398"/>
      <c r="E927" s="397"/>
    </row>
    <row r="928" spans="1:5">
      <c r="A928" s="401"/>
      <c r="B928" s="400"/>
      <c r="C928" s="399"/>
      <c r="D928" s="398"/>
      <c r="E928" s="397"/>
    </row>
    <row r="929" spans="1:5">
      <c r="A929" s="401"/>
      <c r="B929" s="400"/>
      <c r="C929" s="399"/>
      <c r="D929" s="398"/>
      <c r="E929" s="397"/>
    </row>
    <row r="930" spans="1:5">
      <c r="A930" s="401"/>
      <c r="B930" s="400"/>
      <c r="C930" s="399"/>
      <c r="D930" s="398"/>
      <c r="E930" s="397"/>
    </row>
    <row r="931" spans="1:5">
      <c r="A931" s="401"/>
      <c r="B931" s="400"/>
      <c r="C931" s="399"/>
      <c r="D931" s="398"/>
      <c r="E931" s="397"/>
    </row>
    <row r="932" spans="1:5">
      <c r="A932" s="401"/>
      <c r="B932" s="400"/>
      <c r="C932" s="399"/>
      <c r="D932" s="398"/>
      <c r="E932" s="397"/>
    </row>
    <row r="933" spans="1:5">
      <c r="A933" s="401"/>
      <c r="B933" s="400"/>
      <c r="C933" s="399"/>
      <c r="D933" s="398"/>
      <c r="E933" s="397"/>
    </row>
    <row r="934" spans="1:5">
      <c r="A934" s="401"/>
      <c r="B934" s="400"/>
      <c r="C934" s="399"/>
      <c r="D934" s="398"/>
      <c r="E934" s="397"/>
    </row>
    <row r="935" spans="1:5">
      <c r="A935" s="401"/>
      <c r="B935" s="400"/>
      <c r="C935" s="399"/>
      <c r="D935" s="398"/>
      <c r="E935" s="397"/>
    </row>
    <row r="936" spans="1:5">
      <c r="A936" s="401"/>
      <c r="B936" s="400"/>
      <c r="C936" s="399"/>
      <c r="D936" s="398"/>
      <c r="E936" s="397"/>
    </row>
    <row r="937" spans="1:5">
      <c r="A937" s="401"/>
      <c r="B937" s="400"/>
      <c r="C937" s="399"/>
      <c r="D937" s="398"/>
      <c r="E937" s="397"/>
    </row>
    <row r="938" spans="1:5">
      <c r="A938" s="401"/>
      <c r="B938" s="400"/>
      <c r="C938" s="399"/>
      <c r="D938" s="398"/>
      <c r="E938" s="397"/>
    </row>
    <row r="939" spans="1:5">
      <c r="A939" s="401"/>
      <c r="B939" s="400"/>
      <c r="C939" s="399"/>
      <c r="D939" s="398"/>
      <c r="E939" s="397"/>
    </row>
    <row r="940" spans="1:5">
      <c r="A940" s="401"/>
      <c r="B940" s="400"/>
      <c r="C940" s="399"/>
      <c r="D940" s="398"/>
      <c r="E940" s="397"/>
    </row>
    <row r="941" spans="1:5">
      <c r="A941" s="401"/>
      <c r="B941" s="400"/>
      <c r="C941" s="399"/>
      <c r="D941" s="398"/>
      <c r="E941" s="397"/>
    </row>
    <row r="942" spans="1:5">
      <c r="A942" s="401"/>
      <c r="B942" s="400"/>
      <c r="C942" s="399"/>
      <c r="D942" s="398"/>
      <c r="E942" s="397"/>
    </row>
    <row r="943" spans="1:5">
      <c r="A943" s="401"/>
      <c r="B943" s="400"/>
      <c r="C943" s="399"/>
      <c r="D943" s="398"/>
      <c r="E943" s="397"/>
    </row>
    <row r="944" spans="1:5">
      <c r="A944" s="401"/>
      <c r="B944" s="400"/>
      <c r="C944" s="399"/>
      <c r="D944" s="398"/>
      <c r="E944" s="397"/>
    </row>
    <row r="945" spans="1:5">
      <c r="A945" s="401"/>
      <c r="B945" s="400"/>
      <c r="C945" s="399"/>
      <c r="D945" s="398"/>
      <c r="E945" s="397"/>
    </row>
    <row r="946" spans="1:5">
      <c r="A946" s="401"/>
      <c r="B946" s="400"/>
      <c r="C946" s="399"/>
      <c r="D946" s="398"/>
      <c r="E946" s="397"/>
    </row>
    <row r="947" spans="1:5">
      <c r="A947" s="401"/>
      <c r="B947" s="400"/>
      <c r="C947" s="399"/>
      <c r="D947" s="398"/>
      <c r="E947" s="397"/>
    </row>
    <row r="948" spans="1:5">
      <c r="A948" s="401"/>
      <c r="B948" s="400"/>
      <c r="C948" s="399"/>
      <c r="D948" s="398"/>
      <c r="E948" s="397"/>
    </row>
    <row r="949" spans="1:5">
      <c r="A949" s="401"/>
      <c r="B949" s="400"/>
      <c r="C949" s="399"/>
      <c r="D949" s="398"/>
      <c r="E949" s="397"/>
    </row>
    <row r="950" spans="1:5">
      <c r="A950" s="401"/>
      <c r="B950" s="400"/>
      <c r="C950" s="399"/>
      <c r="D950" s="398"/>
      <c r="E950" s="397"/>
    </row>
    <row r="951" spans="1:5">
      <c r="A951" s="401"/>
      <c r="B951" s="400"/>
      <c r="C951" s="399"/>
      <c r="D951" s="398"/>
      <c r="E951" s="397"/>
    </row>
    <row r="952" spans="1:5">
      <c r="A952" s="401"/>
      <c r="B952" s="400"/>
      <c r="C952" s="399"/>
      <c r="D952" s="398"/>
      <c r="E952" s="397"/>
    </row>
    <row r="953" spans="1:5">
      <c r="A953" s="401"/>
      <c r="B953" s="400"/>
      <c r="C953" s="399"/>
      <c r="D953" s="398"/>
      <c r="E953" s="397"/>
    </row>
    <row r="954" spans="1:5">
      <c r="A954" s="401"/>
      <c r="B954" s="400"/>
      <c r="C954" s="399"/>
      <c r="D954" s="398"/>
      <c r="E954" s="397"/>
    </row>
    <row r="955" spans="1:5">
      <c r="A955" s="401"/>
      <c r="B955" s="400"/>
      <c r="C955" s="399"/>
      <c r="D955" s="398"/>
      <c r="E955" s="397"/>
    </row>
    <row r="956" spans="1:5">
      <c r="A956" s="401"/>
      <c r="B956" s="400"/>
      <c r="C956" s="399"/>
      <c r="D956" s="398"/>
      <c r="E956" s="397"/>
    </row>
    <row r="957" spans="1:5">
      <c r="A957" s="401"/>
      <c r="B957" s="400"/>
      <c r="C957" s="399"/>
      <c r="D957" s="398"/>
      <c r="E957" s="397"/>
    </row>
    <row r="958" spans="1:5">
      <c r="A958" s="401"/>
      <c r="B958" s="400"/>
      <c r="C958" s="399"/>
      <c r="D958" s="398"/>
      <c r="E958" s="397"/>
    </row>
    <row r="959" spans="1:5">
      <c r="A959" s="401"/>
      <c r="B959" s="400"/>
      <c r="C959" s="399"/>
      <c r="D959" s="398"/>
      <c r="E959" s="397"/>
    </row>
    <row r="960" spans="1:5">
      <c r="A960" s="401"/>
      <c r="B960" s="400"/>
      <c r="C960" s="399"/>
      <c r="D960" s="398"/>
      <c r="E960" s="397"/>
    </row>
    <row r="961" spans="1:5">
      <c r="A961" s="401"/>
      <c r="B961" s="400"/>
      <c r="C961" s="399"/>
      <c r="D961" s="398"/>
      <c r="E961" s="397"/>
    </row>
    <row r="962" spans="1:5">
      <c r="A962" s="401"/>
      <c r="B962" s="400"/>
      <c r="C962" s="399"/>
      <c r="D962" s="398"/>
      <c r="E962" s="397"/>
    </row>
    <row r="963" spans="1:5">
      <c r="A963" s="401"/>
      <c r="B963" s="400"/>
      <c r="C963" s="399"/>
      <c r="D963" s="398"/>
      <c r="E963" s="397"/>
    </row>
    <row r="964" spans="1:5">
      <c r="A964" s="401"/>
      <c r="B964" s="400"/>
      <c r="C964" s="399"/>
      <c r="D964" s="398"/>
      <c r="E964" s="397"/>
    </row>
    <row r="965" spans="1:5">
      <c r="A965" s="401"/>
      <c r="B965" s="400"/>
      <c r="C965" s="399"/>
      <c r="D965" s="398"/>
      <c r="E965" s="397"/>
    </row>
    <row r="966" spans="1:5">
      <c r="A966" s="401"/>
      <c r="B966" s="400"/>
      <c r="C966" s="399"/>
      <c r="D966" s="398"/>
      <c r="E966" s="397"/>
    </row>
    <row r="967" spans="1:5">
      <c r="A967" s="401"/>
      <c r="B967" s="400"/>
      <c r="C967" s="399"/>
      <c r="D967" s="398"/>
      <c r="E967" s="397"/>
    </row>
    <row r="968" spans="1:5">
      <c r="A968" s="401"/>
      <c r="B968" s="400"/>
      <c r="C968" s="399"/>
      <c r="D968" s="398"/>
      <c r="E968" s="397"/>
    </row>
    <row r="969" spans="1:5">
      <c r="A969" s="401"/>
      <c r="B969" s="400"/>
      <c r="C969" s="399"/>
      <c r="D969" s="398"/>
      <c r="E969" s="397"/>
    </row>
    <row r="970" spans="1:5">
      <c r="A970" s="401"/>
      <c r="B970" s="400"/>
      <c r="C970" s="399"/>
      <c r="D970" s="398"/>
      <c r="E970" s="397"/>
    </row>
    <row r="971" spans="1:5">
      <c r="A971" s="401"/>
      <c r="B971" s="400"/>
      <c r="C971" s="399"/>
      <c r="D971" s="398"/>
      <c r="E971" s="397"/>
    </row>
    <row r="972" spans="1:5">
      <c r="A972" s="401"/>
      <c r="B972" s="400"/>
      <c r="C972" s="399"/>
      <c r="D972" s="398"/>
      <c r="E972" s="397"/>
    </row>
    <row r="973" spans="1:5">
      <c r="A973" s="401"/>
      <c r="B973" s="400"/>
      <c r="C973" s="399"/>
      <c r="D973" s="398"/>
      <c r="E973" s="397"/>
    </row>
    <row r="974" spans="1:5">
      <c r="A974" s="401"/>
      <c r="B974" s="400"/>
      <c r="C974" s="399"/>
      <c r="D974" s="398"/>
      <c r="E974" s="397"/>
    </row>
    <row r="975" spans="1:5">
      <c r="A975" s="401"/>
      <c r="B975" s="400"/>
      <c r="C975" s="399"/>
      <c r="D975" s="398"/>
      <c r="E975" s="397"/>
    </row>
    <row r="976" spans="1:5">
      <c r="A976" s="401"/>
      <c r="B976" s="400"/>
      <c r="C976" s="399"/>
      <c r="D976" s="398"/>
      <c r="E976" s="397"/>
    </row>
    <row r="977" spans="1:5">
      <c r="A977" s="401"/>
      <c r="B977" s="400"/>
      <c r="C977" s="399"/>
      <c r="D977" s="398"/>
      <c r="E977" s="397"/>
    </row>
    <row r="978" spans="1:5">
      <c r="A978" s="401"/>
      <c r="B978" s="400"/>
      <c r="C978" s="399"/>
      <c r="D978" s="398"/>
      <c r="E978" s="397"/>
    </row>
    <row r="979" spans="1:5">
      <c r="A979" s="401"/>
      <c r="B979" s="400"/>
      <c r="C979" s="399"/>
      <c r="D979" s="398"/>
      <c r="E979" s="397"/>
    </row>
    <row r="980" spans="1:5">
      <c r="A980" s="401"/>
      <c r="B980" s="400"/>
      <c r="C980" s="399"/>
      <c r="D980" s="398"/>
      <c r="E980" s="397"/>
    </row>
    <row r="981" spans="1:5">
      <c r="A981" s="401"/>
      <c r="B981" s="400"/>
      <c r="C981" s="399"/>
      <c r="D981" s="398"/>
      <c r="E981" s="397"/>
    </row>
    <row r="982" spans="1:5">
      <c r="A982" s="401"/>
      <c r="B982" s="400"/>
      <c r="C982" s="399"/>
      <c r="D982" s="398"/>
      <c r="E982" s="397"/>
    </row>
    <row r="983" spans="1:5">
      <c r="A983" s="401"/>
      <c r="B983" s="400"/>
      <c r="C983" s="399"/>
      <c r="D983" s="398"/>
      <c r="E983" s="397"/>
    </row>
    <row r="984" spans="1:5">
      <c r="A984" s="401"/>
      <c r="B984" s="400"/>
      <c r="C984" s="399"/>
      <c r="D984" s="398"/>
      <c r="E984" s="397"/>
    </row>
    <row r="985" spans="1:5">
      <c r="A985" s="401"/>
      <c r="B985" s="400"/>
      <c r="C985" s="399"/>
      <c r="D985" s="398"/>
      <c r="E985" s="397"/>
    </row>
    <row r="986" spans="1:5">
      <c r="A986" s="401"/>
      <c r="B986" s="400"/>
      <c r="C986" s="399"/>
      <c r="D986" s="398"/>
      <c r="E986" s="397"/>
    </row>
    <row r="987" spans="1:5">
      <c r="A987" s="401"/>
      <c r="B987" s="400"/>
      <c r="C987" s="399"/>
      <c r="D987" s="398"/>
      <c r="E987" s="397"/>
    </row>
    <row r="988" spans="1:5">
      <c r="A988" s="401"/>
      <c r="B988" s="400"/>
      <c r="C988" s="399"/>
      <c r="D988" s="398"/>
      <c r="E988" s="397"/>
    </row>
    <row r="989" spans="1:5">
      <c r="A989" s="401"/>
      <c r="B989" s="400"/>
      <c r="C989" s="399"/>
      <c r="D989" s="398"/>
      <c r="E989" s="397"/>
    </row>
    <row r="990" spans="1:5">
      <c r="A990" s="401"/>
      <c r="B990" s="400"/>
      <c r="C990" s="399"/>
      <c r="D990" s="398"/>
      <c r="E990" s="397"/>
    </row>
    <row r="991" spans="1:5">
      <c r="A991" s="401"/>
      <c r="B991" s="400"/>
      <c r="C991" s="399"/>
      <c r="D991" s="398"/>
      <c r="E991" s="397"/>
    </row>
    <row r="992" spans="1:5">
      <c r="A992" s="401"/>
      <c r="B992" s="400"/>
      <c r="C992" s="399"/>
      <c r="D992" s="398"/>
      <c r="E992" s="397"/>
    </row>
    <row r="993" spans="1:5">
      <c r="A993" s="401"/>
      <c r="B993" s="400"/>
      <c r="C993" s="399"/>
      <c r="D993" s="398"/>
      <c r="E993" s="397"/>
    </row>
    <row r="994" spans="1:5">
      <c r="A994" s="401"/>
      <c r="B994" s="400"/>
      <c r="C994" s="399"/>
      <c r="D994" s="398"/>
      <c r="E994" s="397"/>
    </row>
    <row r="995" spans="1:5">
      <c r="A995" s="401"/>
      <c r="B995" s="400"/>
      <c r="C995" s="399"/>
      <c r="D995" s="398"/>
      <c r="E995" s="397"/>
    </row>
    <row r="996" spans="1:5">
      <c r="A996" s="401"/>
      <c r="B996" s="400"/>
      <c r="C996" s="399"/>
      <c r="D996" s="398"/>
      <c r="E996" s="397"/>
    </row>
    <row r="997" spans="1:5">
      <c r="A997" s="401"/>
      <c r="B997" s="400"/>
      <c r="C997" s="399"/>
      <c r="D997" s="398"/>
      <c r="E997" s="397"/>
    </row>
    <row r="998" spans="1:5">
      <c r="A998" s="401"/>
      <c r="B998" s="400"/>
      <c r="C998" s="399"/>
      <c r="D998" s="398"/>
      <c r="E998" s="397"/>
    </row>
    <row r="999" spans="1:5">
      <c r="A999" s="401"/>
      <c r="B999" s="400"/>
      <c r="C999" s="399"/>
      <c r="D999" s="398"/>
      <c r="E999" s="397"/>
    </row>
    <row r="1000" spans="1:5">
      <c r="A1000" s="401"/>
      <c r="B1000" s="400"/>
      <c r="C1000" s="399"/>
      <c r="D1000" s="398"/>
      <c r="E1000" s="397"/>
    </row>
    <row r="1001" spans="1:5">
      <c r="A1001" s="401"/>
      <c r="B1001" s="400"/>
      <c r="C1001" s="399"/>
      <c r="D1001" s="398"/>
      <c r="E1001" s="397"/>
    </row>
    <row r="1002" spans="1:5">
      <c r="A1002" s="401"/>
      <c r="B1002" s="400"/>
      <c r="C1002" s="399"/>
      <c r="D1002" s="398"/>
      <c r="E1002" s="397"/>
    </row>
    <row r="1003" spans="1:5">
      <c r="A1003" s="401"/>
      <c r="B1003" s="400"/>
      <c r="C1003" s="399"/>
      <c r="D1003" s="398"/>
      <c r="E1003" s="397"/>
    </row>
    <row r="1004" spans="1:5">
      <c r="A1004" s="401"/>
      <c r="B1004" s="400"/>
      <c r="C1004" s="399"/>
      <c r="D1004" s="398"/>
      <c r="E1004" s="397"/>
    </row>
    <row r="1005" spans="1:5">
      <c r="A1005" s="401"/>
      <c r="B1005" s="400"/>
      <c r="C1005" s="399"/>
      <c r="D1005" s="398"/>
      <c r="E1005" s="397"/>
    </row>
    <row r="1006" spans="1:5">
      <c r="A1006" s="401"/>
      <c r="B1006" s="400"/>
      <c r="C1006" s="399"/>
      <c r="D1006" s="398"/>
      <c r="E1006" s="397"/>
    </row>
    <row r="1007" spans="1:5">
      <c r="A1007" s="401"/>
      <c r="B1007" s="400"/>
      <c r="C1007" s="399"/>
      <c r="D1007" s="398"/>
      <c r="E1007" s="397"/>
    </row>
    <row r="1008" spans="1:5">
      <c r="A1008" s="401"/>
      <c r="B1008" s="400"/>
      <c r="C1008" s="399"/>
      <c r="D1008" s="398"/>
      <c r="E1008" s="267"/>
    </row>
    <row r="1009" spans="1:5">
      <c r="A1009" s="401"/>
      <c r="B1009" s="400"/>
      <c r="C1009" s="399"/>
      <c r="D1009" s="398"/>
    </row>
    <row r="1010" spans="1:5">
      <c r="A1010" s="401"/>
      <c r="B1010" s="400"/>
      <c r="C1010" s="399"/>
      <c r="D1010" s="398"/>
    </row>
    <row r="1011" spans="1:5">
      <c r="A1011" s="401"/>
      <c r="B1011" s="400"/>
      <c r="C1011" s="399"/>
      <c r="D1011" s="398"/>
      <c r="E1011" s="397"/>
    </row>
    <row r="1012" spans="1:5">
      <c r="A1012" s="401"/>
      <c r="B1012" s="400"/>
      <c r="C1012" s="399"/>
      <c r="D1012" s="398"/>
      <c r="E1012" s="397"/>
    </row>
    <row r="1013" spans="1:5">
      <c r="A1013" s="401"/>
      <c r="B1013" s="400"/>
      <c r="C1013" s="399"/>
      <c r="D1013" s="398"/>
      <c r="E1013" s="397"/>
    </row>
    <row r="1014" spans="1:5">
      <c r="A1014" s="401"/>
      <c r="B1014" s="400"/>
      <c r="C1014" s="399"/>
      <c r="D1014" s="398"/>
      <c r="E1014" s="397"/>
    </row>
    <row r="1015" spans="1:5">
      <c r="A1015" s="401"/>
      <c r="B1015" s="400"/>
      <c r="C1015" s="399"/>
      <c r="D1015" s="398"/>
      <c r="E1015" s="397"/>
    </row>
    <row r="1016" spans="1:5">
      <c r="A1016" s="401"/>
      <c r="B1016" s="400"/>
      <c r="C1016" s="399"/>
      <c r="D1016" s="398"/>
      <c r="E1016" s="397"/>
    </row>
    <row r="1017" spans="1:5">
      <c r="A1017" s="401"/>
      <c r="B1017" s="400"/>
      <c r="C1017" s="399"/>
      <c r="D1017" s="398"/>
      <c r="E1017" s="397"/>
    </row>
  </sheetData>
  <mergeCells count="1">
    <mergeCell ref="A1:D1"/>
  </mergeCells>
  <conditionalFormatting sqref="C4:C15 C17:C22 C24:C30 C32:C33 C35:C36 C38">
    <cfRule type="cellIs" dxfId="13" priority="1" operator="equal">
      <formula>"Да"</formula>
    </cfRule>
    <cfRule type="cellIs" dxfId="12" priority="2" operator="equal">
      <formula>"Нет"</formula>
    </cfRule>
  </conditionalFormatting>
  <conditionalFormatting sqref="C4:C15 C17:C22 C24:C30 C32:C33 C35:C36 C38:C42 A3 A16 A23 A31 A34 A37">
    <cfRule type="notContainsBlanks" dxfId="11" priority="3">
      <formula>LEN(TRIM(A3))&gt;0</formula>
    </cfRule>
  </conditionalFormatting>
  <dataValidations count="1">
    <dataValidation type="list" allowBlank="1" showErrorMessage="1" sqref="C4:C15 C17:C22 C24:C30 C32:C33 C35:C36 C38" xr:uid="{00000000-0002-0000-1000-000000000000}">
      <formula1>",Да,Нет,"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E1010"/>
  <sheetViews>
    <sheetView workbookViewId="0">
      <selection activeCell="K25" sqref="K25"/>
    </sheetView>
  </sheetViews>
  <sheetFormatPr defaultColWidth="14.42578125" defaultRowHeight="15" customHeight="1"/>
  <cols>
    <col min="1" max="1" width="7.140625" style="257" customWidth="1"/>
    <col min="2" max="2" width="73.28515625" style="257" customWidth="1"/>
    <col min="3" max="3" width="11.85546875" style="257" customWidth="1"/>
    <col min="4" max="4" width="25.5703125" style="257" customWidth="1"/>
    <col min="5" max="5" width="18" style="257" customWidth="1"/>
    <col min="6" max="16384" width="14.42578125" style="257"/>
  </cols>
  <sheetData>
    <row r="1" spans="1:5" ht="16.5" thickBot="1">
      <c r="A1" s="739" t="s">
        <v>606</v>
      </c>
      <c r="B1" s="740"/>
      <c r="C1" s="740"/>
      <c r="D1" s="740"/>
      <c r="E1" s="402"/>
    </row>
    <row r="2" spans="1:5" ht="17.25" thickTop="1" thickBot="1">
      <c r="A2" s="428" t="s">
        <v>81</v>
      </c>
      <c r="B2" s="427" t="s">
        <v>426</v>
      </c>
      <c r="C2" s="428" t="s">
        <v>425</v>
      </c>
      <c r="D2" s="428" t="s">
        <v>424</v>
      </c>
      <c r="E2" s="402"/>
    </row>
    <row r="3" spans="1:5" ht="17.25" thickTop="1" thickBot="1">
      <c r="A3" s="412"/>
      <c r="B3" s="411" t="s">
        <v>423</v>
      </c>
      <c r="C3" s="410"/>
      <c r="D3" s="410"/>
      <c r="E3" s="402"/>
    </row>
    <row r="4" spans="1:5" ht="16.5" thickTop="1">
      <c r="A4" s="468" t="s">
        <v>507</v>
      </c>
      <c r="B4" s="471" t="s">
        <v>422</v>
      </c>
      <c r="C4" s="414"/>
      <c r="D4" s="414"/>
      <c r="E4" s="402"/>
    </row>
    <row r="5" spans="1:5" ht="15.75">
      <c r="A5" s="468" t="s">
        <v>506</v>
      </c>
      <c r="B5" s="469" t="s">
        <v>421</v>
      </c>
      <c r="C5" s="414"/>
      <c r="D5" s="414"/>
      <c r="E5" s="402"/>
    </row>
    <row r="6" spans="1:5" ht="15.75">
      <c r="A6" s="468" t="s">
        <v>505</v>
      </c>
      <c r="B6" s="469" t="s">
        <v>420</v>
      </c>
      <c r="C6" s="414"/>
      <c r="D6" s="414"/>
      <c r="E6" s="402"/>
    </row>
    <row r="7" spans="1:5" ht="15.75">
      <c r="A7" s="468" t="s">
        <v>504</v>
      </c>
      <c r="B7" s="469" t="s">
        <v>419</v>
      </c>
      <c r="C7" s="414"/>
      <c r="D7" s="414"/>
      <c r="E7" s="402"/>
    </row>
    <row r="8" spans="1:5" ht="15.75">
      <c r="A8" s="468" t="s">
        <v>503</v>
      </c>
      <c r="B8" s="469" t="s">
        <v>418</v>
      </c>
      <c r="C8" s="414"/>
      <c r="D8" s="414"/>
      <c r="E8" s="402"/>
    </row>
    <row r="9" spans="1:5" ht="15.75">
      <c r="A9" s="468" t="s">
        <v>502</v>
      </c>
      <c r="B9" s="469" t="s">
        <v>417</v>
      </c>
      <c r="C9" s="414"/>
      <c r="D9" s="414"/>
      <c r="E9" s="402"/>
    </row>
    <row r="10" spans="1:5" ht="26.25">
      <c r="A10" s="468" t="s">
        <v>501</v>
      </c>
      <c r="B10" s="426" t="s">
        <v>416</v>
      </c>
      <c r="C10" s="414"/>
      <c r="D10" s="414"/>
      <c r="E10" s="402"/>
    </row>
    <row r="11" spans="1:5" ht="25.5">
      <c r="A11" s="468" t="s">
        <v>500</v>
      </c>
      <c r="B11" s="425" t="s">
        <v>415</v>
      </c>
      <c r="C11" s="414"/>
      <c r="D11" s="414"/>
      <c r="E11" s="402"/>
    </row>
    <row r="12" spans="1:5" ht="15.75">
      <c r="A12" s="468" t="s">
        <v>499</v>
      </c>
      <c r="B12" s="449" t="s">
        <v>498</v>
      </c>
      <c r="C12" s="414"/>
      <c r="D12" s="414"/>
      <c r="E12" s="402"/>
    </row>
    <row r="13" spans="1:5" ht="15.75">
      <c r="A13" s="468" t="s">
        <v>497</v>
      </c>
      <c r="B13" s="469" t="s">
        <v>413</v>
      </c>
      <c r="C13" s="414"/>
      <c r="D13" s="414"/>
      <c r="E13" s="424" t="s">
        <v>412</v>
      </c>
    </row>
    <row r="14" spans="1:5" ht="15.75">
      <c r="A14" s="468" t="s">
        <v>496</v>
      </c>
      <c r="B14" s="470" t="s">
        <v>605</v>
      </c>
      <c r="C14" s="414"/>
      <c r="D14" s="414"/>
      <c r="E14" s="402"/>
    </row>
    <row r="15" spans="1:5" ht="15.75">
      <c r="A15" s="468" t="s">
        <v>494</v>
      </c>
      <c r="B15" s="469" t="s">
        <v>440</v>
      </c>
      <c r="C15" s="414"/>
      <c r="D15" s="414"/>
      <c r="E15" s="402"/>
    </row>
    <row r="16" spans="1:5" ht="16.5" thickBot="1">
      <c r="A16" s="468" t="s">
        <v>493</v>
      </c>
      <c r="B16" s="467" t="s">
        <v>604</v>
      </c>
      <c r="C16" s="414"/>
      <c r="D16" s="414"/>
      <c r="E16" s="402"/>
    </row>
    <row r="17" spans="1:5" ht="17.25" thickTop="1" thickBot="1">
      <c r="A17" s="412"/>
      <c r="B17" s="466" t="s">
        <v>410</v>
      </c>
      <c r="C17" s="410"/>
      <c r="D17" s="410"/>
      <c r="E17" s="402"/>
    </row>
    <row r="18" spans="1:5" ht="16.5" thickTop="1">
      <c r="A18" s="460" t="s">
        <v>491</v>
      </c>
      <c r="B18" s="458" t="s">
        <v>603</v>
      </c>
      <c r="C18" s="414"/>
      <c r="D18" s="414"/>
      <c r="E18" s="402"/>
    </row>
    <row r="19" spans="1:5" ht="15.75">
      <c r="A19" s="460" t="s">
        <v>490</v>
      </c>
      <c r="B19" s="458" t="s">
        <v>602</v>
      </c>
      <c r="C19" s="414"/>
      <c r="D19" s="414"/>
      <c r="E19" s="402"/>
    </row>
    <row r="20" spans="1:5" ht="15.75">
      <c r="A20" s="460" t="s">
        <v>488</v>
      </c>
      <c r="B20" s="458" t="s">
        <v>601</v>
      </c>
      <c r="C20" s="414"/>
      <c r="D20" s="414"/>
      <c r="E20" s="402"/>
    </row>
    <row r="21" spans="1:5" ht="15.75">
      <c r="A21" s="460" t="s">
        <v>486</v>
      </c>
      <c r="B21" s="458" t="s">
        <v>600</v>
      </c>
      <c r="C21" s="414"/>
      <c r="D21" s="414"/>
      <c r="E21" s="402"/>
    </row>
    <row r="22" spans="1:5" ht="15.75">
      <c r="A22" s="460" t="s">
        <v>484</v>
      </c>
      <c r="B22" s="458" t="s">
        <v>599</v>
      </c>
      <c r="C22" s="414"/>
      <c r="D22" s="414"/>
      <c r="E22" s="402"/>
    </row>
    <row r="23" spans="1:5" ht="25.5">
      <c r="A23" s="460" t="s">
        <v>482</v>
      </c>
      <c r="B23" s="458" t="s">
        <v>598</v>
      </c>
      <c r="C23" s="414"/>
      <c r="D23" s="414"/>
      <c r="E23" s="402"/>
    </row>
    <row r="24" spans="1:5" ht="25.5">
      <c r="A24" s="460" t="s">
        <v>597</v>
      </c>
      <c r="B24" s="425" t="s">
        <v>596</v>
      </c>
      <c r="C24" s="414"/>
      <c r="D24" s="414"/>
      <c r="E24" s="402"/>
    </row>
    <row r="25" spans="1:5" ht="25.5">
      <c r="A25" s="460" t="s">
        <v>595</v>
      </c>
      <c r="B25" s="425" t="s">
        <v>594</v>
      </c>
      <c r="C25" s="414"/>
      <c r="D25" s="414"/>
      <c r="E25" s="402"/>
    </row>
    <row r="26" spans="1:5" ht="26.25" thickBot="1">
      <c r="A26" s="460" t="s">
        <v>593</v>
      </c>
      <c r="B26" s="465" t="s">
        <v>592</v>
      </c>
      <c r="C26" s="414"/>
      <c r="D26" s="464"/>
      <c r="E26" s="402"/>
    </row>
    <row r="27" spans="1:5" ht="17.25" thickTop="1" thickBot="1">
      <c r="A27" s="412"/>
      <c r="B27" s="410" t="s">
        <v>403</v>
      </c>
      <c r="C27" s="410"/>
      <c r="D27" s="410"/>
      <c r="E27" s="402"/>
    </row>
    <row r="28" spans="1:5" ht="26.25" thickTop="1">
      <c r="A28" s="460" t="s">
        <v>480</v>
      </c>
      <c r="B28" s="458" t="s">
        <v>591</v>
      </c>
      <c r="C28" s="414"/>
      <c r="D28" s="463"/>
      <c r="E28" s="402"/>
    </row>
    <row r="29" spans="1:5" ht="51">
      <c r="A29" s="460" t="s">
        <v>478</v>
      </c>
      <c r="B29" s="458" t="s">
        <v>590</v>
      </c>
      <c r="C29" s="414"/>
      <c r="D29" s="462"/>
      <c r="E29" s="402"/>
    </row>
    <row r="30" spans="1:5" ht="25.5">
      <c r="A30" s="460" t="s">
        <v>476</v>
      </c>
      <c r="B30" s="458" t="s">
        <v>589</v>
      </c>
      <c r="C30" s="414"/>
      <c r="D30" s="462"/>
      <c r="E30" s="402"/>
    </row>
    <row r="31" spans="1:5" ht="25.5">
      <c r="A31" s="460" t="s">
        <v>562</v>
      </c>
      <c r="B31" s="458" t="s">
        <v>588</v>
      </c>
      <c r="C31" s="414"/>
      <c r="D31" s="461"/>
      <c r="E31" s="402"/>
    </row>
    <row r="32" spans="1:5" ht="16.5" thickBot="1">
      <c r="A32" s="460" t="s">
        <v>560</v>
      </c>
      <c r="B32" s="458" t="s">
        <v>587</v>
      </c>
      <c r="C32" s="414"/>
      <c r="D32" s="431"/>
      <c r="E32" s="402"/>
    </row>
    <row r="33" spans="1:5" ht="17.25" thickTop="1" thickBot="1">
      <c r="A33" s="412"/>
      <c r="B33" s="410" t="s">
        <v>586</v>
      </c>
      <c r="C33" s="410"/>
      <c r="D33" s="410"/>
      <c r="E33" s="402"/>
    </row>
    <row r="34" spans="1:5" ht="27" thickTop="1" thickBot="1">
      <c r="A34" s="456" t="s">
        <v>474</v>
      </c>
      <c r="B34" s="455" t="s">
        <v>388</v>
      </c>
      <c r="C34" s="407"/>
      <c r="D34" s="407"/>
      <c r="E34" s="402"/>
    </row>
    <row r="35" spans="1:5" ht="16.5" thickTop="1">
      <c r="A35" s="404"/>
      <c r="B35" s="450"/>
      <c r="C35" s="429"/>
      <c r="D35" s="399"/>
      <c r="E35" s="402"/>
    </row>
    <row r="36" spans="1:5" ht="15.75">
      <c r="A36" s="401"/>
      <c r="B36" s="453"/>
      <c r="C36" s="429"/>
      <c r="D36" s="399"/>
      <c r="E36" s="402"/>
    </row>
    <row r="37" spans="1:5" ht="15.75">
      <c r="A37" s="401"/>
      <c r="B37" s="453"/>
      <c r="C37" s="429"/>
      <c r="D37" s="399"/>
      <c r="E37" s="402"/>
    </row>
    <row r="38" spans="1:5" ht="15.75">
      <c r="A38" s="401"/>
      <c r="B38" s="453"/>
      <c r="C38" s="429"/>
      <c r="D38" s="399"/>
      <c r="E38" s="402"/>
    </row>
    <row r="39" spans="1:5" ht="15.75">
      <c r="A39" s="401"/>
      <c r="B39" s="453"/>
      <c r="C39" s="429"/>
      <c r="D39" s="399"/>
      <c r="E39" s="402"/>
    </row>
    <row r="40" spans="1:5" ht="15.75">
      <c r="A40" s="401"/>
      <c r="B40" s="453"/>
      <c r="C40" s="429"/>
      <c r="D40" s="399"/>
      <c r="E40" s="402"/>
    </row>
    <row r="41" spans="1:5" ht="15.75">
      <c r="A41" s="401"/>
      <c r="B41" s="453"/>
      <c r="C41" s="429"/>
      <c r="D41" s="399"/>
      <c r="E41" s="402"/>
    </row>
    <row r="42" spans="1:5" ht="15.75">
      <c r="A42" s="401"/>
      <c r="B42" s="453"/>
      <c r="C42" s="429"/>
      <c r="D42" s="399"/>
      <c r="E42" s="402"/>
    </row>
    <row r="43" spans="1:5" ht="15.75">
      <c r="A43" s="401"/>
      <c r="B43" s="453"/>
      <c r="C43" s="429"/>
      <c r="D43" s="399"/>
      <c r="E43" s="402"/>
    </row>
    <row r="44" spans="1:5" ht="15.75">
      <c r="A44" s="401"/>
      <c r="B44" s="453"/>
      <c r="C44" s="429"/>
      <c r="D44" s="399"/>
      <c r="E44" s="402"/>
    </row>
    <row r="45" spans="1:5" ht="15.75">
      <c r="A45" s="401"/>
      <c r="B45" s="453"/>
      <c r="C45" s="429"/>
      <c r="D45" s="399"/>
      <c r="E45" s="402"/>
    </row>
    <row r="46" spans="1:5" ht="15.75">
      <c r="A46" s="401"/>
      <c r="B46" s="453"/>
      <c r="C46" s="429"/>
      <c r="D46" s="399"/>
      <c r="E46" s="402"/>
    </row>
    <row r="47" spans="1:5" ht="15.75">
      <c r="A47" s="401"/>
      <c r="B47" s="453"/>
      <c r="C47" s="429"/>
      <c r="D47" s="399"/>
      <c r="E47" s="402"/>
    </row>
    <row r="48" spans="1:5" ht="15.75">
      <c r="A48" s="401"/>
      <c r="B48" s="453"/>
      <c r="C48" s="429"/>
      <c r="D48" s="399"/>
      <c r="E48" s="402"/>
    </row>
    <row r="49" spans="1:5" ht="15.75">
      <c r="A49" s="401"/>
      <c r="B49" s="453"/>
      <c r="C49" s="429"/>
      <c r="D49" s="399"/>
      <c r="E49" s="402"/>
    </row>
    <row r="50" spans="1:5" ht="15.75">
      <c r="A50" s="401"/>
      <c r="B50" s="453"/>
      <c r="C50" s="429"/>
      <c r="D50" s="399"/>
      <c r="E50" s="402"/>
    </row>
    <row r="51" spans="1:5" ht="15.75">
      <c r="A51" s="401"/>
      <c r="B51" s="453"/>
      <c r="C51" s="429"/>
      <c r="D51" s="399"/>
      <c r="E51" s="402"/>
    </row>
    <row r="52" spans="1:5" ht="15.75">
      <c r="A52" s="401"/>
      <c r="B52" s="453"/>
      <c r="C52" s="429"/>
      <c r="D52" s="399"/>
      <c r="E52" s="402"/>
    </row>
    <row r="53" spans="1:5" ht="15.75">
      <c r="A53" s="401"/>
      <c r="B53" s="453"/>
      <c r="C53" s="429"/>
      <c r="D53" s="399"/>
      <c r="E53" s="402"/>
    </row>
    <row r="54" spans="1:5" ht="15.75">
      <c r="A54" s="401"/>
      <c r="B54" s="453"/>
      <c r="C54" s="429"/>
      <c r="D54" s="399"/>
      <c r="E54" s="402"/>
    </row>
    <row r="55" spans="1:5" ht="15.75">
      <c r="A55" s="401"/>
      <c r="B55" s="453"/>
      <c r="C55" s="429"/>
      <c r="D55" s="399"/>
      <c r="E55" s="402"/>
    </row>
    <row r="56" spans="1:5" ht="15.75">
      <c r="A56" s="401"/>
      <c r="B56" s="453"/>
      <c r="C56" s="429"/>
      <c r="D56" s="399"/>
      <c r="E56" s="402"/>
    </row>
    <row r="57" spans="1:5" ht="15.75">
      <c r="A57" s="401"/>
      <c r="B57" s="453"/>
      <c r="C57" s="429"/>
      <c r="D57" s="399"/>
      <c r="E57" s="402"/>
    </row>
    <row r="58" spans="1:5" ht="15.75">
      <c r="A58" s="401"/>
      <c r="B58" s="453"/>
      <c r="C58" s="429"/>
      <c r="D58" s="399"/>
      <c r="E58" s="402"/>
    </row>
    <row r="59" spans="1:5" ht="15.75">
      <c r="A59" s="401"/>
      <c r="B59" s="453"/>
      <c r="C59" s="429"/>
      <c r="D59" s="399"/>
      <c r="E59" s="402"/>
    </row>
    <row r="60" spans="1:5" ht="15.75">
      <c r="A60" s="401"/>
      <c r="B60" s="453"/>
      <c r="C60" s="429"/>
      <c r="D60" s="399"/>
      <c r="E60" s="402"/>
    </row>
    <row r="61" spans="1:5" ht="15.75">
      <c r="A61" s="401"/>
      <c r="B61" s="453"/>
      <c r="C61" s="429"/>
      <c r="D61" s="399"/>
      <c r="E61" s="402"/>
    </row>
    <row r="62" spans="1:5" ht="15.75">
      <c r="A62" s="401"/>
      <c r="B62" s="453"/>
      <c r="C62" s="429"/>
      <c r="D62" s="399"/>
      <c r="E62" s="402"/>
    </row>
    <row r="63" spans="1:5" ht="15.75">
      <c r="A63" s="401"/>
      <c r="B63" s="453"/>
      <c r="C63" s="429"/>
      <c r="D63" s="399"/>
      <c r="E63" s="402"/>
    </row>
    <row r="64" spans="1:5" ht="15.75">
      <c r="A64" s="401"/>
      <c r="B64" s="453"/>
      <c r="C64" s="429"/>
      <c r="D64" s="399"/>
      <c r="E64" s="402"/>
    </row>
    <row r="65" spans="1:5" ht="15.75">
      <c r="A65" s="401"/>
      <c r="B65" s="453"/>
      <c r="C65" s="429"/>
      <c r="D65" s="399"/>
      <c r="E65" s="402"/>
    </row>
    <row r="66" spans="1:5" ht="15.75">
      <c r="A66" s="401"/>
      <c r="B66" s="453"/>
      <c r="C66" s="429"/>
      <c r="D66" s="399"/>
      <c r="E66" s="402"/>
    </row>
    <row r="67" spans="1:5" ht="15.75">
      <c r="A67" s="401"/>
      <c r="B67" s="453"/>
      <c r="C67" s="429"/>
      <c r="D67" s="399"/>
      <c r="E67" s="402"/>
    </row>
    <row r="68" spans="1:5" ht="15.75">
      <c r="A68" s="401"/>
      <c r="B68" s="453"/>
      <c r="C68" s="429"/>
      <c r="D68" s="399"/>
      <c r="E68" s="402"/>
    </row>
    <row r="69" spans="1:5" ht="15.75">
      <c r="A69" s="401"/>
      <c r="B69" s="453"/>
      <c r="C69" s="429"/>
      <c r="D69" s="399"/>
      <c r="E69" s="402"/>
    </row>
    <row r="70" spans="1:5" ht="15.75">
      <c r="A70" s="401"/>
      <c r="B70" s="453"/>
      <c r="C70" s="429"/>
      <c r="D70" s="399"/>
      <c r="E70" s="402"/>
    </row>
    <row r="71" spans="1:5" ht="15.75">
      <c r="A71" s="401"/>
      <c r="B71" s="453"/>
      <c r="C71" s="429"/>
      <c r="D71" s="399"/>
      <c r="E71" s="402"/>
    </row>
    <row r="72" spans="1:5" ht="15.75">
      <c r="A72" s="401"/>
      <c r="B72" s="453"/>
      <c r="C72" s="429"/>
      <c r="D72" s="399"/>
      <c r="E72" s="402"/>
    </row>
    <row r="73" spans="1:5" ht="15.75">
      <c r="A73" s="401"/>
      <c r="B73" s="453"/>
      <c r="C73" s="429"/>
      <c r="D73" s="399"/>
      <c r="E73" s="402"/>
    </row>
    <row r="74" spans="1:5" ht="15.75">
      <c r="A74" s="401"/>
      <c r="B74" s="453"/>
      <c r="C74" s="429"/>
      <c r="D74" s="399"/>
      <c r="E74" s="402"/>
    </row>
    <row r="75" spans="1:5" ht="15.75">
      <c r="A75" s="401"/>
      <c r="B75" s="453"/>
      <c r="C75" s="429"/>
      <c r="D75" s="399"/>
      <c r="E75" s="402"/>
    </row>
    <row r="76" spans="1:5" ht="15.75">
      <c r="A76" s="401"/>
      <c r="B76" s="453"/>
      <c r="C76" s="429"/>
      <c r="D76" s="399"/>
      <c r="E76" s="402"/>
    </row>
    <row r="77" spans="1:5" ht="15.75">
      <c r="A77" s="401"/>
      <c r="B77" s="453"/>
      <c r="C77" s="429"/>
      <c r="D77" s="399"/>
      <c r="E77" s="402"/>
    </row>
    <row r="78" spans="1:5" ht="15.75">
      <c r="A78" s="401"/>
      <c r="B78" s="453"/>
      <c r="C78" s="429"/>
      <c r="D78" s="399"/>
      <c r="E78" s="402"/>
    </row>
    <row r="79" spans="1:5" ht="15.75">
      <c r="A79" s="401"/>
      <c r="B79" s="453"/>
      <c r="C79" s="429"/>
      <c r="D79" s="399"/>
      <c r="E79" s="402"/>
    </row>
    <row r="80" spans="1:5" ht="15.75">
      <c r="A80" s="401"/>
      <c r="B80" s="453"/>
      <c r="C80" s="429"/>
      <c r="D80" s="399"/>
      <c r="E80" s="402"/>
    </row>
    <row r="81" spans="1:5" ht="15.75">
      <c r="A81" s="401"/>
      <c r="B81" s="453"/>
      <c r="C81" s="429"/>
      <c r="D81" s="399"/>
      <c r="E81" s="402"/>
    </row>
    <row r="82" spans="1:5" ht="15.75">
      <c r="A82" s="401"/>
      <c r="B82" s="453"/>
      <c r="C82" s="429"/>
      <c r="D82" s="399"/>
      <c r="E82" s="402"/>
    </row>
    <row r="83" spans="1:5" ht="15.75">
      <c r="A83" s="401"/>
      <c r="B83" s="453"/>
      <c r="C83" s="429"/>
      <c r="D83" s="399"/>
      <c r="E83" s="402"/>
    </row>
    <row r="84" spans="1:5" ht="15.75">
      <c r="A84" s="401"/>
      <c r="B84" s="453"/>
      <c r="C84" s="429"/>
      <c r="D84" s="399"/>
      <c r="E84" s="402"/>
    </row>
    <row r="85" spans="1:5" ht="15.75">
      <c r="A85" s="401"/>
      <c r="B85" s="453"/>
      <c r="C85" s="429"/>
      <c r="D85" s="399"/>
      <c r="E85" s="402"/>
    </row>
    <row r="86" spans="1:5" ht="15.75">
      <c r="A86" s="401"/>
      <c r="B86" s="453"/>
      <c r="C86" s="429"/>
      <c r="D86" s="399"/>
      <c r="E86" s="402"/>
    </row>
    <row r="87" spans="1:5" ht="15.75">
      <c r="A87" s="401"/>
      <c r="B87" s="453"/>
      <c r="C87" s="429"/>
      <c r="D87" s="399"/>
      <c r="E87" s="402"/>
    </row>
    <row r="88" spans="1:5" ht="15.75">
      <c r="A88" s="401"/>
      <c r="B88" s="453"/>
      <c r="C88" s="429"/>
      <c r="D88" s="399"/>
      <c r="E88" s="402"/>
    </row>
    <row r="89" spans="1:5" ht="15.75">
      <c r="A89" s="401"/>
      <c r="B89" s="453"/>
      <c r="C89" s="429"/>
      <c r="D89" s="399"/>
      <c r="E89" s="402"/>
    </row>
    <row r="90" spans="1:5" ht="15.75">
      <c r="A90" s="401"/>
      <c r="B90" s="453"/>
      <c r="C90" s="429"/>
      <c r="D90" s="399"/>
      <c r="E90" s="402"/>
    </row>
    <row r="91" spans="1:5" ht="15.75">
      <c r="A91" s="401"/>
      <c r="B91" s="453"/>
      <c r="C91" s="429"/>
      <c r="D91" s="399"/>
      <c r="E91" s="402"/>
    </row>
    <row r="92" spans="1:5" ht="15.75">
      <c r="A92" s="401"/>
      <c r="B92" s="453"/>
      <c r="C92" s="429"/>
      <c r="D92" s="399"/>
      <c r="E92" s="402"/>
    </row>
    <row r="93" spans="1:5" ht="15.75">
      <c r="A93" s="401"/>
      <c r="B93" s="453"/>
      <c r="C93" s="429"/>
      <c r="D93" s="399"/>
      <c r="E93" s="402"/>
    </row>
    <row r="94" spans="1:5" ht="15.75">
      <c r="A94" s="401"/>
      <c r="B94" s="453"/>
      <c r="C94" s="429"/>
      <c r="D94" s="399"/>
      <c r="E94" s="402"/>
    </row>
    <row r="95" spans="1:5" ht="15.75">
      <c r="A95" s="401"/>
      <c r="B95" s="453"/>
      <c r="C95" s="429"/>
      <c r="D95" s="399"/>
      <c r="E95" s="402"/>
    </row>
    <row r="96" spans="1:5" ht="15.75">
      <c r="A96" s="401"/>
      <c r="B96" s="453"/>
      <c r="C96" s="429"/>
      <c r="D96" s="399"/>
      <c r="E96" s="402"/>
    </row>
    <row r="97" spans="1:5" ht="15.75">
      <c r="A97" s="401"/>
      <c r="B97" s="453"/>
      <c r="C97" s="429"/>
      <c r="D97" s="399"/>
      <c r="E97" s="402"/>
    </row>
    <row r="98" spans="1:5" ht="15.75">
      <c r="A98" s="401"/>
      <c r="B98" s="453"/>
      <c r="C98" s="429"/>
      <c r="D98" s="399"/>
      <c r="E98" s="402"/>
    </row>
    <row r="99" spans="1:5" ht="15.75">
      <c r="A99" s="401"/>
      <c r="B99" s="453"/>
      <c r="C99" s="429"/>
      <c r="D99" s="399"/>
      <c r="E99" s="402"/>
    </row>
    <row r="100" spans="1:5" ht="15.75">
      <c r="A100" s="401"/>
      <c r="B100" s="453"/>
      <c r="C100" s="429"/>
      <c r="D100" s="399"/>
      <c r="E100" s="402"/>
    </row>
    <row r="101" spans="1:5" ht="15.75">
      <c r="A101" s="401"/>
      <c r="B101" s="453"/>
      <c r="C101" s="429"/>
      <c r="D101" s="399"/>
      <c r="E101" s="402"/>
    </row>
    <row r="102" spans="1:5" ht="15.75">
      <c r="A102" s="401"/>
      <c r="B102" s="453"/>
      <c r="C102" s="429"/>
      <c r="D102" s="399"/>
      <c r="E102" s="402"/>
    </row>
    <row r="103" spans="1:5" ht="15.75">
      <c r="A103" s="401"/>
      <c r="B103" s="453"/>
      <c r="C103" s="429"/>
      <c r="D103" s="399"/>
      <c r="E103" s="402"/>
    </row>
    <row r="104" spans="1:5" ht="15.75">
      <c r="A104" s="401"/>
      <c r="B104" s="453"/>
      <c r="C104" s="429"/>
      <c r="D104" s="399"/>
      <c r="E104" s="402"/>
    </row>
    <row r="105" spans="1:5" ht="15.75">
      <c r="A105" s="401"/>
      <c r="B105" s="453"/>
      <c r="C105" s="429"/>
      <c r="D105" s="399"/>
      <c r="E105" s="402"/>
    </row>
    <row r="106" spans="1:5" ht="15.75">
      <c r="A106" s="401"/>
      <c r="B106" s="453"/>
      <c r="C106" s="429"/>
      <c r="D106" s="399"/>
      <c r="E106" s="402"/>
    </row>
    <row r="107" spans="1:5" ht="15.75">
      <c r="A107" s="401"/>
      <c r="B107" s="453"/>
      <c r="C107" s="429"/>
      <c r="D107" s="399"/>
      <c r="E107" s="402"/>
    </row>
    <row r="108" spans="1:5" ht="15.75">
      <c r="A108" s="401"/>
      <c r="B108" s="453"/>
      <c r="C108" s="429"/>
      <c r="D108" s="399"/>
      <c r="E108" s="402"/>
    </row>
    <row r="109" spans="1:5" ht="15.75">
      <c r="A109" s="401"/>
      <c r="B109" s="453"/>
      <c r="C109" s="429"/>
      <c r="D109" s="399"/>
      <c r="E109" s="402"/>
    </row>
    <row r="110" spans="1:5" ht="15.75">
      <c r="A110" s="401"/>
      <c r="B110" s="453"/>
      <c r="C110" s="429"/>
      <c r="D110" s="399"/>
      <c r="E110" s="402"/>
    </row>
    <row r="111" spans="1:5" ht="15.75">
      <c r="A111" s="401"/>
      <c r="B111" s="453"/>
      <c r="C111" s="429"/>
      <c r="D111" s="399"/>
      <c r="E111" s="402"/>
    </row>
    <row r="112" spans="1:5">
      <c r="A112" s="401"/>
      <c r="B112" s="453"/>
      <c r="C112" s="429"/>
      <c r="D112" s="399"/>
      <c r="E112" s="397"/>
    </row>
    <row r="113" spans="1:5">
      <c r="A113" s="401"/>
      <c r="B113" s="453"/>
      <c r="C113" s="429"/>
      <c r="D113" s="399"/>
      <c r="E113" s="397"/>
    </row>
    <row r="114" spans="1:5">
      <c r="A114" s="401"/>
      <c r="B114" s="453"/>
      <c r="C114" s="429"/>
      <c r="D114" s="399"/>
      <c r="E114" s="397"/>
    </row>
    <row r="115" spans="1:5">
      <c r="A115" s="401"/>
      <c r="B115" s="453"/>
      <c r="C115" s="429"/>
      <c r="D115" s="399"/>
      <c r="E115" s="397"/>
    </row>
    <row r="116" spans="1:5">
      <c r="A116" s="401"/>
      <c r="B116" s="453"/>
      <c r="C116" s="429"/>
      <c r="D116" s="399"/>
      <c r="E116" s="397"/>
    </row>
    <row r="117" spans="1:5">
      <c r="A117" s="401"/>
      <c r="B117" s="453"/>
      <c r="C117" s="429"/>
      <c r="D117" s="399"/>
      <c r="E117" s="397"/>
    </row>
    <row r="118" spans="1:5">
      <c r="A118" s="401"/>
      <c r="B118" s="453"/>
      <c r="C118" s="429"/>
      <c r="D118" s="399"/>
      <c r="E118" s="397"/>
    </row>
    <row r="119" spans="1:5">
      <c r="A119" s="401"/>
      <c r="B119" s="453"/>
      <c r="C119" s="429"/>
      <c r="D119" s="399"/>
      <c r="E119" s="397"/>
    </row>
    <row r="120" spans="1:5">
      <c r="A120" s="401"/>
      <c r="B120" s="453"/>
      <c r="C120" s="429"/>
      <c r="D120" s="399"/>
      <c r="E120" s="397"/>
    </row>
    <row r="121" spans="1:5">
      <c r="A121" s="401"/>
      <c r="B121" s="453"/>
      <c r="C121" s="429"/>
      <c r="D121" s="399"/>
      <c r="E121" s="397"/>
    </row>
    <row r="122" spans="1:5">
      <c r="A122" s="401"/>
      <c r="B122" s="453"/>
      <c r="C122" s="429"/>
      <c r="D122" s="399"/>
      <c r="E122" s="397"/>
    </row>
    <row r="123" spans="1:5">
      <c r="A123" s="401"/>
      <c r="B123" s="453"/>
      <c r="C123" s="429"/>
      <c r="D123" s="399"/>
      <c r="E123" s="397"/>
    </row>
    <row r="124" spans="1:5">
      <c r="A124" s="401"/>
      <c r="B124" s="453"/>
      <c r="C124" s="429"/>
      <c r="D124" s="399"/>
      <c r="E124" s="397"/>
    </row>
    <row r="125" spans="1:5">
      <c r="A125" s="401"/>
      <c r="B125" s="453"/>
      <c r="C125" s="429"/>
      <c r="D125" s="399"/>
      <c r="E125" s="397"/>
    </row>
    <row r="126" spans="1:5">
      <c r="A126" s="401"/>
      <c r="B126" s="453"/>
      <c r="C126" s="429"/>
      <c r="D126" s="399"/>
      <c r="E126" s="397"/>
    </row>
    <row r="127" spans="1:5">
      <c r="A127" s="401"/>
      <c r="B127" s="453"/>
      <c r="C127" s="429"/>
      <c r="D127" s="399"/>
      <c r="E127" s="397"/>
    </row>
    <row r="128" spans="1:5">
      <c r="A128" s="401"/>
      <c r="B128" s="453"/>
      <c r="C128" s="429"/>
      <c r="D128" s="399"/>
      <c r="E128" s="397"/>
    </row>
    <row r="129" spans="1:5">
      <c r="A129" s="401"/>
      <c r="B129" s="453"/>
      <c r="C129" s="429"/>
      <c r="D129" s="399"/>
      <c r="E129" s="397"/>
    </row>
    <row r="130" spans="1:5">
      <c r="A130" s="401"/>
      <c r="B130" s="453"/>
      <c r="C130" s="429"/>
      <c r="D130" s="399"/>
      <c r="E130" s="397"/>
    </row>
    <row r="131" spans="1:5">
      <c r="A131" s="401"/>
      <c r="B131" s="453"/>
      <c r="C131" s="429"/>
      <c r="D131" s="399"/>
      <c r="E131" s="397"/>
    </row>
    <row r="132" spans="1:5">
      <c r="A132" s="401"/>
      <c r="B132" s="453"/>
      <c r="C132" s="429"/>
      <c r="D132" s="399"/>
      <c r="E132" s="397"/>
    </row>
    <row r="133" spans="1:5">
      <c r="A133" s="401"/>
      <c r="B133" s="453"/>
      <c r="C133" s="429"/>
      <c r="D133" s="399"/>
      <c r="E133" s="397"/>
    </row>
    <row r="134" spans="1:5">
      <c r="A134" s="401"/>
      <c r="B134" s="453"/>
      <c r="C134" s="429"/>
      <c r="D134" s="399"/>
      <c r="E134" s="397"/>
    </row>
    <row r="135" spans="1:5">
      <c r="A135" s="401"/>
      <c r="B135" s="453"/>
      <c r="C135" s="429"/>
      <c r="D135" s="399"/>
      <c r="E135" s="397"/>
    </row>
    <row r="136" spans="1:5">
      <c r="A136" s="401"/>
      <c r="B136" s="453"/>
      <c r="C136" s="429"/>
      <c r="D136" s="399"/>
      <c r="E136" s="397"/>
    </row>
    <row r="137" spans="1:5">
      <c r="A137" s="401"/>
      <c r="B137" s="453"/>
      <c r="C137" s="429"/>
      <c r="D137" s="399"/>
      <c r="E137" s="397"/>
    </row>
    <row r="138" spans="1:5">
      <c r="A138" s="401"/>
      <c r="B138" s="453"/>
      <c r="C138" s="429"/>
      <c r="D138" s="399"/>
      <c r="E138" s="397"/>
    </row>
    <row r="139" spans="1:5">
      <c r="A139" s="401"/>
      <c r="B139" s="453"/>
      <c r="C139" s="429"/>
      <c r="D139" s="399"/>
      <c r="E139" s="397"/>
    </row>
    <row r="140" spans="1:5">
      <c r="A140" s="401"/>
      <c r="B140" s="453"/>
      <c r="C140" s="429"/>
      <c r="D140" s="399"/>
      <c r="E140" s="397"/>
    </row>
    <row r="141" spans="1:5">
      <c r="A141" s="401"/>
      <c r="B141" s="453"/>
      <c r="C141" s="429"/>
      <c r="D141" s="399"/>
      <c r="E141" s="397"/>
    </row>
    <row r="142" spans="1:5">
      <c r="A142" s="401"/>
      <c r="B142" s="453"/>
      <c r="C142" s="429"/>
      <c r="D142" s="399"/>
      <c r="E142" s="397"/>
    </row>
    <row r="143" spans="1:5">
      <c r="A143" s="401"/>
      <c r="B143" s="453"/>
      <c r="C143" s="429"/>
      <c r="D143" s="399"/>
      <c r="E143" s="397"/>
    </row>
    <row r="144" spans="1:5">
      <c r="A144" s="401"/>
      <c r="B144" s="453"/>
      <c r="C144" s="429"/>
      <c r="D144" s="399"/>
      <c r="E144" s="397"/>
    </row>
    <row r="145" spans="1:5">
      <c r="A145" s="401"/>
      <c r="B145" s="453"/>
      <c r="C145" s="429"/>
      <c r="D145" s="399"/>
      <c r="E145" s="397"/>
    </row>
    <row r="146" spans="1:5">
      <c r="A146" s="401"/>
      <c r="B146" s="453"/>
      <c r="C146" s="429"/>
      <c r="D146" s="399"/>
      <c r="E146" s="397"/>
    </row>
    <row r="147" spans="1:5">
      <c r="A147" s="401"/>
      <c r="B147" s="453"/>
      <c r="C147" s="429"/>
      <c r="D147" s="399"/>
      <c r="E147" s="397"/>
    </row>
    <row r="148" spans="1:5">
      <c r="A148" s="401"/>
      <c r="B148" s="453"/>
      <c r="C148" s="429"/>
      <c r="D148" s="399"/>
      <c r="E148" s="397"/>
    </row>
    <row r="149" spans="1:5">
      <c r="A149" s="401"/>
      <c r="B149" s="453"/>
      <c r="C149" s="429"/>
      <c r="D149" s="399"/>
      <c r="E149" s="397"/>
    </row>
    <row r="150" spans="1:5">
      <c r="A150" s="401"/>
      <c r="B150" s="453"/>
      <c r="C150" s="429"/>
      <c r="D150" s="399"/>
      <c r="E150" s="397"/>
    </row>
    <row r="151" spans="1:5">
      <c r="A151" s="401"/>
      <c r="B151" s="453"/>
      <c r="C151" s="429"/>
      <c r="D151" s="399"/>
      <c r="E151" s="397"/>
    </row>
    <row r="152" spans="1:5">
      <c r="A152" s="401"/>
      <c r="B152" s="453"/>
      <c r="C152" s="429"/>
      <c r="D152" s="399"/>
      <c r="E152" s="397"/>
    </row>
    <row r="153" spans="1:5">
      <c r="A153" s="401"/>
      <c r="B153" s="453"/>
      <c r="C153" s="429"/>
      <c r="D153" s="399"/>
      <c r="E153" s="397"/>
    </row>
    <row r="154" spans="1:5">
      <c r="A154" s="401"/>
      <c r="B154" s="453"/>
      <c r="C154" s="429"/>
      <c r="D154" s="399"/>
      <c r="E154" s="397"/>
    </row>
    <row r="155" spans="1:5">
      <c r="A155" s="401"/>
      <c r="B155" s="453"/>
      <c r="C155" s="429"/>
      <c r="D155" s="399"/>
      <c r="E155" s="397"/>
    </row>
    <row r="156" spans="1:5">
      <c r="A156" s="401"/>
      <c r="B156" s="453"/>
      <c r="C156" s="429"/>
      <c r="D156" s="399"/>
      <c r="E156" s="397"/>
    </row>
    <row r="157" spans="1:5">
      <c r="A157" s="401"/>
      <c r="B157" s="453"/>
      <c r="C157" s="429"/>
      <c r="D157" s="399"/>
      <c r="E157" s="397"/>
    </row>
    <row r="158" spans="1:5">
      <c r="A158" s="401"/>
      <c r="B158" s="453"/>
      <c r="C158" s="429"/>
      <c r="D158" s="399"/>
      <c r="E158" s="397"/>
    </row>
    <row r="159" spans="1:5">
      <c r="A159" s="401"/>
      <c r="B159" s="453"/>
      <c r="C159" s="429"/>
      <c r="D159" s="399"/>
      <c r="E159" s="397"/>
    </row>
    <row r="160" spans="1:5">
      <c r="A160" s="401"/>
      <c r="B160" s="453"/>
      <c r="C160" s="429"/>
      <c r="D160" s="399"/>
      <c r="E160" s="397"/>
    </row>
    <row r="161" spans="1:5">
      <c r="A161" s="401"/>
      <c r="B161" s="453"/>
      <c r="C161" s="429"/>
      <c r="D161" s="399"/>
      <c r="E161" s="397"/>
    </row>
    <row r="162" spans="1:5">
      <c r="A162" s="401"/>
      <c r="B162" s="453"/>
      <c r="C162" s="429"/>
      <c r="D162" s="399"/>
      <c r="E162" s="397"/>
    </row>
    <row r="163" spans="1:5">
      <c r="A163" s="401"/>
      <c r="B163" s="453"/>
      <c r="C163" s="429"/>
      <c r="D163" s="399"/>
      <c r="E163" s="397"/>
    </row>
    <row r="164" spans="1:5">
      <c r="A164" s="401"/>
      <c r="B164" s="453"/>
      <c r="C164" s="429"/>
      <c r="D164" s="399"/>
      <c r="E164" s="397"/>
    </row>
    <row r="165" spans="1:5">
      <c r="A165" s="401"/>
      <c r="B165" s="453"/>
      <c r="C165" s="429"/>
      <c r="D165" s="399"/>
      <c r="E165" s="397"/>
    </row>
    <row r="166" spans="1:5">
      <c r="A166" s="401"/>
      <c r="B166" s="453"/>
      <c r="C166" s="429"/>
      <c r="D166" s="399"/>
      <c r="E166" s="397"/>
    </row>
    <row r="167" spans="1:5">
      <c r="A167" s="401"/>
      <c r="B167" s="453"/>
      <c r="C167" s="429"/>
      <c r="D167" s="399"/>
      <c r="E167" s="397"/>
    </row>
    <row r="168" spans="1:5">
      <c r="A168" s="401"/>
      <c r="B168" s="453"/>
      <c r="C168" s="429"/>
      <c r="D168" s="399"/>
      <c r="E168" s="397"/>
    </row>
    <row r="169" spans="1:5">
      <c r="A169" s="401"/>
      <c r="B169" s="453"/>
      <c r="C169" s="429"/>
      <c r="D169" s="399"/>
      <c r="E169" s="397"/>
    </row>
    <row r="170" spans="1:5">
      <c r="A170" s="401"/>
      <c r="B170" s="453"/>
      <c r="C170" s="429"/>
      <c r="D170" s="399"/>
      <c r="E170" s="397"/>
    </row>
    <row r="171" spans="1:5">
      <c r="A171" s="401"/>
      <c r="B171" s="453"/>
      <c r="C171" s="429"/>
      <c r="D171" s="399"/>
      <c r="E171" s="397"/>
    </row>
    <row r="172" spans="1:5">
      <c r="A172" s="401"/>
      <c r="B172" s="453"/>
      <c r="C172" s="429"/>
      <c r="D172" s="399"/>
      <c r="E172" s="397"/>
    </row>
    <row r="173" spans="1:5">
      <c r="A173" s="401"/>
      <c r="B173" s="453"/>
      <c r="C173" s="429"/>
      <c r="D173" s="399"/>
      <c r="E173" s="397"/>
    </row>
    <row r="174" spans="1:5">
      <c r="A174" s="401"/>
      <c r="B174" s="453"/>
      <c r="C174" s="429"/>
      <c r="D174" s="399"/>
      <c r="E174" s="397"/>
    </row>
    <row r="175" spans="1:5">
      <c r="A175" s="401"/>
      <c r="B175" s="453"/>
      <c r="C175" s="429"/>
      <c r="D175" s="399"/>
      <c r="E175" s="397"/>
    </row>
    <row r="176" spans="1:5">
      <c r="A176" s="401"/>
      <c r="B176" s="453"/>
      <c r="C176" s="429"/>
      <c r="D176" s="399"/>
      <c r="E176" s="397"/>
    </row>
    <row r="177" spans="1:5">
      <c r="A177" s="401"/>
      <c r="B177" s="453"/>
      <c r="C177" s="429"/>
      <c r="D177" s="399"/>
      <c r="E177" s="397"/>
    </row>
    <row r="178" spans="1:5">
      <c r="A178" s="401"/>
      <c r="B178" s="453"/>
      <c r="C178" s="429"/>
      <c r="D178" s="399"/>
      <c r="E178" s="397"/>
    </row>
    <row r="179" spans="1:5">
      <c r="A179" s="401"/>
      <c r="B179" s="453"/>
      <c r="C179" s="429"/>
      <c r="D179" s="399"/>
      <c r="E179" s="397"/>
    </row>
    <row r="180" spans="1:5">
      <c r="A180" s="401"/>
      <c r="B180" s="453"/>
      <c r="C180" s="429"/>
      <c r="D180" s="399"/>
      <c r="E180" s="397"/>
    </row>
    <row r="181" spans="1:5">
      <c r="A181" s="401"/>
      <c r="B181" s="453"/>
      <c r="C181" s="429"/>
      <c r="D181" s="399"/>
      <c r="E181" s="397"/>
    </row>
    <row r="182" spans="1:5">
      <c r="A182" s="401"/>
      <c r="B182" s="453"/>
      <c r="C182" s="429"/>
      <c r="D182" s="399"/>
      <c r="E182" s="397"/>
    </row>
    <row r="183" spans="1:5">
      <c r="A183" s="401"/>
      <c r="B183" s="453"/>
      <c r="C183" s="429"/>
      <c r="D183" s="399"/>
      <c r="E183" s="397"/>
    </row>
    <row r="184" spans="1:5">
      <c r="A184" s="401"/>
      <c r="B184" s="453"/>
      <c r="C184" s="429"/>
      <c r="D184" s="399"/>
      <c r="E184" s="397"/>
    </row>
    <row r="185" spans="1:5">
      <c r="A185" s="401"/>
      <c r="B185" s="453"/>
      <c r="C185" s="429"/>
      <c r="D185" s="399"/>
      <c r="E185" s="397"/>
    </row>
    <row r="186" spans="1:5">
      <c r="A186" s="401"/>
      <c r="B186" s="453"/>
      <c r="C186" s="429"/>
      <c r="D186" s="399"/>
      <c r="E186" s="397"/>
    </row>
    <row r="187" spans="1:5">
      <c r="A187" s="401"/>
      <c r="B187" s="453"/>
      <c r="C187" s="429"/>
      <c r="D187" s="399"/>
      <c r="E187" s="397"/>
    </row>
    <row r="188" spans="1:5">
      <c r="A188" s="401"/>
      <c r="B188" s="453"/>
      <c r="C188" s="429"/>
      <c r="D188" s="399"/>
      <c r="E188" s="397"/>
    </row>
    <row r="189" spans="1:5">
      <c r="A189" s="401"/>
      <c r="B189" s="453"/>
      <c r="C189" s="429"/>
      <c r="D189" s="399"/>
      <c r="E189" s="397"/>
    </row>
    <row r="190" spans="1:5">
      <c r="A190" s="401"/>
      <c r="B190" s="453"/>
      <c r="C190" s="429"/>
      <c r="D190" s="399"/>
      <c r="E190" s="397"/>
    </row>
    <row r="191" spans="1:5">
      <c r="A191" s="401"/>
      <c r="B191" s="453"/>
      <c r="C191" s="429"/>
      <c r="D191" s="399"/>
      <c r="E191" s="397"/>
    </row>
    <row r="192" spans="1:5">
      <c r="A192" s="401"/>
      <c r="B192" s="453"/>
      <c r="C192" s="429"/>
      <c r="D192" s="399"/>
      <c r="E192" s="397"/>
    </row>
    <row r="193" spans="1:5">
      <c r="A193" s="401"/>
      <c r="B193" s="453"/>
      <c r="C193" s="429"/>
      <c r="D193" s="399"/>
      <c r="E193" s="397"/>
    </row>
    <row r="194" spans="1:5">
      <c r="A194" s="401"/>
      <c r="B194" s="453"/>
      <c r="C194" s="429"/>
      <c r="D194" s="399"/>
      <c r="E194" s="397"/>
    </row>
    <row r="195" spans="1:5">
      <c r="A195" s="401"/>
      <c r="B195" s="453"/>
      <c r="C195" s="429"/>
      <c r="D195" s="399"/>
      <c r="E195" s="397"/>
    </row>
    <row r="196" spans="1:5">
      <c r="A196" s="401"/>
      <c r="B196" s="453"/>
      <c r="C196" s="429"/>
      <c r="D196" s="399"/>
      <c r="E196" s="397"/>
    </row>
    <row r="197" spans="1:5">
      <c r="A197" s="401"/>
      <c r="B197" s="453"/>
      <c r="C197" s="429"/>
      <c r="D197" s="399"/>
      <c r="E197" s="397"/>
    </row>
    <row r="198" spans="1:5">
      <c r="A198" s="401"/>
      <c r="B198" s="453"/>
      <c r="C198" s="429"/>
      <c r="D198" s="399"/>
      <c r="E198" s="397"/>
    </row>
    <row r="199" spans="1:5">
      <c r="A199" s="401"/>
      <c r="B199" s="453"/>
      <c r="C199" s="429"/>
      <c r="D199" s="399"/>
      <c r="E199" s="397"/>
    </row>
    <row r="200" spans="1:5">
      <c r="A200" s="401"/>
      <c r="B200" s="453"/>
      <c r="C200" s="429"/>
      <c r="D200" s="399"/>
      <c r="E200" s="397"/>
    </row>
    <row r="201" spans="1:5">
      <c r="A201" s="401"/>
      <c r="B201" s="453"/>
      <c r="C201" s="429"/>
      <c r="D201" s="399"/>
      <c r="E201" s="397"/>
    </row>
    <row r="202" spans="1:5">
      <c r="A202" s="401"/>
      <c r="B202" s="453"/>
      <c r="C202" s="429"/>
      <c r="D202" s="399"/>
      <c r="E202" s="397"/>
    </row>
    <row r="203" spans="1:5">
      <c r="A203" s="401"/>
      <c r="B203" s="453"/>
      <c r="C203" s="429"/>
      <c r="D203" s="399"/>
      <c r="E203" s="397"/>
    </row>
    <row r="204" spans="1:5">
      <c r="A204" s="401"/>
      <c r="B204" s="453"/>
      <c r="C204" s="429"/>
      <c r="D204" s="399"/>
      <c r="E204" s="397"/>
    </row>
    <row r="205" spans="1:5">
      <c r="A205" s="401"/>
      <c r="B205" s="453"/>
      <c r="C205" s="429"/>
      <c r="D205" s="399"/>
      <c r="E205" s="397"/>
    </row>
    <row r="206" spans="1:5">
      <c r="A206" s="401"/>
      <c r="B206" s="453"/>
      <c r="C206" s="429"/>
      <c r="D206" s="399"/>
      <c r="E206" s="397"/>
    </row>
    <row r="207" spans="1:5">
      <c r="A207" s="401"/>
      <c r="B207" s="453"/>
      <c r="C207" s="429"/>
      <c r="D207" s="399"/>
      <c r="E207" s="397"/>
    </row>
    <row r="208" spans="1:5">
      <c r="A208" s="401"/>
      <c r="B208" s="453"/>
      <c r="C208" s="429"/>
      <c r="D208" s="399"/>
      <c r="E208" s="397"/>
    </row>
    <row r="209" spans="1:5">
      <c r="A209" s="401"/>
      <c r="B209" s="453"/>
      <c r="C209" s="429"/>
      <c r="D209" s="399"/>
      <c r="E209" s="397"/>
    </row>
    <row r="210" spans="1:5">
      <c r="A210" s="401"/>
      <c r="B210" s="453"/>
      <c r="C210" s="429"/>
      <c r="D210" s="399"/>
      <c r="E210" s="397"/>
    </row>
    <row r="211" spans="1:5">
      <c r="A211" s="401"/>
      <c r="B211" s="453"/>
      <c r="C211" s="429"/>
      <c r="D211" s="399"/>
      <c r="E211" s="397"/>
    </row>
    <row r="212" spans="1:5">
      <c r="A212" s="401"/>
      <c r="B212" s="453"/>
      <c r="C212" s="429"/>
      <c r="D212" s="399"/>
      <c r="E212" s="397"/>
    </row>
    <row r="213" spans="1:5">
      <c r="A213" s="401"/>
      <c r="B213" s="453"/>
      <c r="C213" s="429"/>
      <c r="D213" s="399"/>
      <c r="E213" s="397"/>
    </row>
    <row r="214" spans="1:5">
      <c r="A214" s="401"/>
      <c r="B214" s="453"/>
      <c r="C214" s="429"/>
      <c r="D214" s="399"/>
      <c r="E214" s="397"/>
    </row>
    <row r="215" spans="1:5">
      <c r="A215" s="401"/>
      <c r="B215" s="453"/>
      <c r="C215" s="429"/>
      <c r="D215" s="399"/>
      <c r="E215" s="397"/>
    </row>
    <row r="216" spans="1:5">
      <c r="A216" s="401"/>
      <c r="B216" s="453"/>
      <c r="C216" s="429"/>
      <c r="D216" s="399"/>
      <c r="E216" s="397"/>
    </row>
    <row r="217" spans="1:5">
      <c r="A217" s="401"/>
      <c r="B217" s="453"/>
      <c r="C217" s="429"/>
      <c r="D217" s="399"/>
      <c r="E217" s="397"/>
    </row>
    <row r="218" spans="1:5">
      <c r="A218" s="401"/>
      <c r="B218" s="453"/>
      <c r="C218" s="429"/>
      <c r="D218" s="399"/>
      <c r="E218" s="397"/>
    </row>
    <row r="219" spans="1:5">
      <c r="A219" s="401"/>
      <c r="B219" s="453"/>
      <c r="C219" s="429"/>
      <c r="D219" s="399"/>
      <c r="E219" s="397"/>
    </row>
    <row r="220" spans="1:5">
      <c r="A220" s="401"/>
      <c r="B220" s="453"/>
      <c r="C220" s="429"/>
      <c r="D220" s="399"/>
      <c r="E220" s="397"/>
    </row>
    <row r="221" spans="1:5">
      <c r="A221" s="401"/>
      <c r="B221" s="453"/>
      <c r="C221" s="429"/>
      <c r="D221" s="399"/>
      <c r="E221" s="397"/>
    </row>
    <row r="222" spans="1:5">
      <c r="A222" s="401"/>
      <c r="B222" s="453"/>
      <c r="C222" s="429"/>
      <c r="D222" s="399"/>
      <c r="E222" s="397"/>
    </row>
    <row r="223" spans="1:5">
      <c r="A223" s="401"/>
      <c r="B223" s="453"/>
      <c r="C223" s="429"/>
      <c r="D223" s="399"/>
      <c r="E223" s="397"/>
    </row>
    <row r="224" spans="1:5">
      <c r="A224" s="401"/>
      <c r="B224" s="453"/>
      <c r="C224" s="429"/>
      <c r="D224" s="399"/>
      <c r="E224" s="397"/>
    </row>
    <row r="225" spans="1:5">
      <c r="A225" s="401"/>
      <c r="B225" s="453"/>
      <c r="C225" s="429"/>
      <c r="D225" s="399"/>
      <c r="E225" s="397"/>
    </row>
    <row r="226" spans="1:5">
      <c r="A226" s="401"/>
      <c r="B226" s="453"/>
      <c r="C226" s="429"/>
      <c r="D226" s="399"/>
      <c r="E226" s="397"/>
    </row>
    <row r="227" spans="1:5">
      <c r="A227" s="401"/>
      <c r="B227" s="453"/>
      <c r="C227" s="429"/>
      <c r="D227" s="399"/>
      <c r="E227" s="397"/>
    </row>
    <row r="228" spans="1:5">
      <c r="A228" s="401"/>
      <c r="B228" s="453"/>
      <c r="C228" s="429"/>
      <c r="D228" s="399"/>
      <c r="E228" s="397"/>
    </row>
    <row r="229" spans="1:5">
      <c r="A229" s="401"/>
      <c r="B229" s="453"/>
      <c r="C229" s="429"/>
      <c r="D229" s="399"/>
      <c r="E229" s="397"/>
    </row>
    <row r="230" spans="1:5">
      <c r="A230" s="401"/>
      <c r="B230" s="453"/>
      <c r="C230" s="429"/>
      <c r="D230" s="399"/>
      <c r="E230" s="397"/>
    </row>
    <row r="231" spans="1:5">
      <c r="A231" s="401"/>
      <c r="B231" s="453"/>
      <c r="C231" s="429"/>
      <c r="D231" s="399"/>
      <c r="E231" s="397"/>
    </row>
    <row r="232" spans="1:5">
      <c r="A232" s="401"/>
      <c r="B232" s="453"/>
      <c r="C232" s="429"/>
      <c r="D232" s="399"/>
      <c r="E232" s="397"/>
    </row>
    <row r="233" spans="1:5">
      <c r="A233" s="401"/>
      <c r="B233" s="453"/>
      <c r="C233" s="429"/>
      <c r="D233" s="399"/>
      <c r="E233" s="397"/>
    </row>
    <row r="234" spans="1:5">
      <c r="A234" s="401"/>
      <c r="B234" s="453"/>
      <c r="C234" s="429"/>
      <c r="D234" s="399"/>
      <c r="E234" s="397"/>
    </row>
    <row r="235" spans="1:5">
      <c r="A235" s="401"/>
      <c r="B235" s="453"/>
      <c r="C235" s="429"/>
      <c r="D235" s="399"/>
      <c r="E235" s="397"/>
    </row>
    <row r="236" spans="1:5">
      <c r="A236" s="401"/>
      <c r="B236" s="453"/>
      <c r="C236" s="429"/>
      <c r="D236" s="399"/>
      <c r="E236" s="397"/>
    </row>
    <row r="237" spans="1:5">
      <c r="A237" s="401"/>
      <c r="B237" s="453"/>
      <c r="C237" s="429"/>
      <c r="D237" s="399"/>
      <c r="E237" s="397"/>
    </row>
    <row r="238" spans="1:5">
      <c r="A238" s="401"/>
      <c r="B238" s="453"/>
      <c r="C238" s="429"/>
      <c r="D238" s="399"/>
      <c r="E238" s="397"/>
    </row>
    <row r="239" spans="1:5">
      <c r="A239" s="401"/>
      <c r="B239" s="453"/>
      <c r="C239" s="429"/>
      <c r="D239" s="399"/>
      <c r="E239" s="397"/>
    </row>
    <row r="240" spans="1:5">
      <c r="A240" s="401"/>
      <c r="B240" s="453"/>
      <c r="C240" s="429"/>
      <c r="D240" s="399"/>
      <c r="E240" s="397"/>
    </row>
    <row r="241" spans="1:5">
      <c r="A241" s="401"/>
      <c r="B241" s="453"/>
      <c r="C241" s="429"/>
      <c r="D241" s="399"/>
      <c r="E241" s="397"/>
    </row>
    <row r="242" spans="1:5">
      <c r="A242" s="401"/>
      <c r="B242" s="453"/>
      <c r="C242" s="429"/>
      <c r="D242" s="399"/>
      <c r="E242" s="397"/>
    </row>
    <row r="243" spans="1:5">
      <c r="A243" s="401"/>
      <c r="B243" s="453"/>
      <c r="C243" s="429"/>
      <c r="D243" s="399"/>
      <c r="E243" s="397"/>
    </row>
    <row r="244" spans="1:5">
      <c r="A244" s="401"/>
      <c r="B244" s="453"/>
      <c r="C244" s="429"/>
      <c r="D244" s="399"/>
      <c r="E244" s="397"/>
    </row>
    <row r="245" spans="1:5">
      <c r="A245" s="401"/>
      <c r="B245" s="453"/>
      <c r="C245" s="429"/>
      <c r="D245" s="399"/>
      <c r="E245" s="397"/>
    </row>
    <row r="246" spans="1:5">
      <c r="A246" s="401"/>
      <c r="B246" s="453"/>
      <c r="C246" s="429"/>
      <c r="D246" s="399"/>
      <c r="E246" s="397"/>
    </row>
    <row r="247" spans="1:5">
      <c r="A247" s="401"/>
      <c r="B247" s="453"/>
      <c r="C247" s="429"/>
      <c r="D247" s="399"/>
      <c r="E247" s="397"/>
    </row>
    <row r="248" spans="1:5">
      <c r="A248" s="401"/>
      <c r="B248" s="453"/>
      <c r="C248" s="429"/>
      <c r="D248" s="399"/>
      <c r="E248" s="397"/>
    </row>
    <row r="249" spans="1:5">
      <c r="A249" s="401"/>
      <c r="B249" s="453"/>
      <c r="C249" s="429"/>
      <c r="D249" s="399"/>
      <c r="E249" s="397"/>
    </row>
    <row r="250" spans="1:5">
      <c r="A250" s="401"/>
      <c r="B250" s="453"/>
      <c r="C250" s="429"/>
      <c r="D250" s="399"/>
      <c r="E250" s="397"/>
    </row>
    <row r="251" spans="1:5">
      <c r="A251" s="401"/>
      <c r="B251" s="453"/>
      <c r="C251" s="429"/>
      <c r="D251" s="399"/>
      <c r="E251" s="397"/>
    </row>
    <row r="252" spans="1:5">
      <c r="A252" s="401"/>
      <c r="B252" s="453"/>
      <c r="C252" s="429"/>
      <c r="D252" s="399"/>
      <c r="E252" s="397"/>
    </row>
    <row r="253" spans="1:5">
      <c r="A253" s="401"/>
      <c r="B253" s="453"/>
      <c r="C253" s="429"/>
      <c r="D253" s="399"/>
      <c r="E253" s="397"/>
    </row>
    <row r="254" spans="1:5">
      <c r="A254" s="401"/>
      <c r="B254" s="453"/>
      <c r="C254" s="429"/>
      <c r="D254" s="399"/>
      <c r="E254" s="397"/>
    </row>
    <row r="255" spans="1:5">
      <c r="A255" s="401"/>
      <c r="B255" s="453"/>
      <c r="C255" s="429"/>
      <c r="D255" s="399"/>
      <c r="E255" s="397"/>
    </row>
    <row r="256" spans="1:5">
      <c r="A256" s="401"/>
      <c r="B256" s="453"/>
      <c r="C256" s="429"/>
      <c r="D256" s="399"/>
      <c r="E256" s="397"/>
    </row>
    <row r="257" spans="1:5">
      <c r="A257" s="401"/>
      <c r="B257" s="453"/>
      <c r="C257" s="429"/>
      <c r="D257" s="399"/>
      <c r="E257" s="397"/>
    </row>
    <row r="258" spans="1:5">
      <c r="A258" s="401"/>
      <c r="B258" s="453"/>
      <c r="C258" s="429"/>
      <c r="D258" s="399"/>
      <c r="E258" s="397"/>
    </row>
    <row r="259" spans="1:5">
      <c r="A259" s="401"/>
      <c r="B259" s="453"/>
      <c r="C259" s="429"/>
      <c r="D259" s="399"/>
      <c r="E259" s="397"/>
    </row>
    <row r="260" spans="1:5">
      <c r="A260" s="401"/>
      <c r="B260" s="453"/>
      <c r="C260" s="429"/>
      <c r="D260" s="399"/>
      <c r="E260" s="397"/>
    </row>
    <row r="261" spans="1:5">
      <c r="A261" s="401"/>
      <c r="B261" s="453"/>
      <c r="C261" s="429"/>
      <c r="D261" s="399"/>
      <c r="E261" s="397"/>
    </row>
    <row r="262" spans="1:5">
      <c r="A262" s="401"/>
      <c r="B262" s="453"/>
      <c r="C262" s="429"/>
      <c r="D262" s="399"/>
      <c r="E262" s="397"/>
    </row>
    <row r="263" spans="1:5">
      <c r="A263" s="401"/>
      <c r="B263" s="453"/>
      <c r="C263" s="429"/>
      <c r="D263" s="399"/>
      <c r="E263" s="397"/>
    </row>
    <row r="264" spans="1:5">
      <c r="A264" s="401"/>
      <c r="B264" s="453"/>
      <c r="C264" s="429"/>
      <c r="D264" s="399"/>
      <c r="E264" s="397"/>
    </row>
    <row r="265" spans="1:5">
      <c r="A265" s="401"/>
      <c r="B265" s="453"/>
      <c r="C265" s="429"/>
      <c r="D265" s="399"/>
      <c r="E265" s="397"/>
    </row>
    <row r="266" spans="1:5">
      <c r="A266" s="401"/>
      <c r="B266" s="453"/>
      <c r="C266" s="429"/>
      <c r="D266" s="399"/>
      <c r="E266" s="397"/>
    </row>
    <row r="267" spans="1:5">
      <c r="A267" s="401"/>
      <c r="B267" s="453"/>
      <c r="C267" s="429"/>
      <c r="D267" s="399"/>
      <c r="E267" s="397"/>
    </row>
    <row r="268" spans="1:5">
      <c r="A268" s="401"/>
      <c r="B268" s="453"/>
      <c r="C268" s="429"/>
      <c r="D268" s="399"/>
      <c r="E268" s="397"/>
    </row>
    <row r="269" spans="1:5">
      <c r="A269" s="401"/>
      <c r="B269" s="453"/>
      <c r="C269" s="429"/>
      <c r="D269" s="399"/>
      <c r="E269" s="397"/>
    </row>
    <row r="270" spans="1:5">
      <c r="A270" s="401"/>
      <c r="B270" s="453"/>
      <c r="C270" s="429"/>
      <c r="D270" s="399"/>
      <c r="E270" s="397"/>
    </row>
    <row r="271" spans="1:5">
      <c r="A271" s="401"/>
      <c r="B271" s="453"/>
      <c r="C271" s="429"/>
      <c r="D271" s="399"/>
      <c r="E271" s="397"/>
    </row>
    <row r="272" spans="1:5">
      <c r="A272" s="401"/>
      <c r="B272" s="453"/>
      <c r="C272" s="429"/>
      <c r="D272" s="399"/>
      <c r="E272" s="397"/>
    </row>
    <row r="273" spans="1:5">
      <c r="A273" s="401"/>
      <c r="B273" s="453"/>
      <c r="C273" s="429"/>
      <c r="D273" s="399"/>
      <c r="E273" s="397"/>
    </row>
    <row r="274" spans="1:5">
      <c r="A274" s="401"/>
      <c r="B274" s="453"/>
      <c r="C274" s="429"/>
      <c r="D274" s="399"/>
      <c r="E274" s="397"/>
    </row>
    <row r="275" spans="1:5">
      <c r="A275" s="401"/>
      <c r="B275" s="453"/>
      <c r="C275" s="429"/>
      <c r="D275" s="399"/>
      <c r="E275" s="397"/>
    </row>
    <row r="276" spans="1:5">
      <c r="A276" s="401"/>
      <c r="B276" s="453"/>
      <c r="C276" s="429"/>
      <c r="D276" s="399"/>
      <c r="E276" s="397"/>
    </row>
    <row r="277" spans="1:5">
      <c r="A277" s="401"/>
      <c r="B277" s="453"/>
      <c r="C277" s="429"/>
      <c r="D277" s="399"/>
      <c r="E277" s="397"/>
    </row>
    <row r="278" spans="1:5">
      <c r="A278" s="401"/>
      <c r="B278" s="453"/>
      <c r="C278" s="429"/>
      <c r="D278" s="399"/>
      <c r="E278" s="397"/>
    </row>
    <row r="279" spans="1:5">
      <c r="A279" s="401"/>
      <c r="B279" s="453"/>
      <c r="C279" s="429"/>
      <c r="D279" s="399"/>
      <c r="E279" s="397"/>
    </row>
    <row r="280" spans="1:5">
      <c r="A280" s="401"/>
      <c r="B280" s="453"/>
      <c r="C280" s="429"/>
      <c r="D280" s="399"/>
      <c r="E280" s="397"/>
    </row>
    <row r="281" spans="1:5">
      <c r="A281" s="401"/>
      <c r="B281" s="453"/>
      <c r="C281" s="429"/>
      <c r="D281" s="399"/>
      <c r="E281" s="397"/>
    </row>
    <row r="282" spans="1:5">
      <c r="A282" s="401"/>
      <c r="B282" s="453"/>
      <c r="C282" s="429"/>
      <c r="D282" s="399"/>
      <c r="E282" s="397"/>
    </row>
    <row r="283" spans="1:5">
      <c r="A283" s="401"/>
      <c r="B283" s="453"/>
      <c r="C283" s="429"/>
      <c r="D283" s="399"/>
      <c r="E283" s="397"/>
    </row>
    <row r="284" spans="1:5">
      <c r="A284" s="401"/>
      <c r="B284" s="453"/>
      <c r="C284" s="429"/>
      <c r="D284" s="399"/>
      <c r="E284" s="397"/>
    </row>
    <row r="285" spans="1:5">
      <c r="A285" s="401"/>
      <c r="B285" s="453"/>
      <c r="C285" s="429"/>
      <c r="D285" s="399"/>
      <c r="E285" s="397"/>
    </row>
    <row r="286" spans="1:5">
      <c r="A286" s="401"/>
      <c r="B286" s="453"/>
      <c r="C286" s="429"/>
      <c r="D286" s="399"/>
      <c r="E286" s="397"/>
    </row>
    <row r="287" spans="1:5">
      <c r="A287" s="401"/>
      <c r="B287" s="453"/>
      <c r="C287" s="429"/>
      <c r="D287" s="399"/>
      <c r="E287" s="397"/>
    </row>
    <row r="288" spans="1:5">
      <c r="A288" s="401"/>
      <c r="B288" s="453"/>
      <c r="C288" s="429"/>
      <c r="D288" s="399"/>
      <c r="E288" s="397"/>
    </row>
    <row r="289" spans="1:5">
      <c r="A289" s="401"/>
      <c r="B289" s="453"/>
      <c r="C289" s="429"/>
      <c r="D289" s="399"/>
      <c r="E289" s="397"/>
    </row>
    <row r="290" spans="1:5">
      <c r="A290" s="401"/>
      <c r="B290" s="453"/>
      <c r="C290" s="429"/>
      <c r="D290" s="399"/>
      <c r="E290" s="397"/>
    </row>
    <row r="291" spans="1:5">
      <c r="A291" s="401"/>
      <c r="B291" s="453"/>
      <c r="C291" s="429"/>
      <c r="D291" s="399"/>
      <c r="E291" s="397"/>
    </row>
    <row r="292" spans="1:5">
      <c r="A292" s="401"/>
      <c r="B292" s="453"/>
      <c r="C292" s="429"/>
      <c r="D292" s="399"/>
      <c r="E292" s="397"/>
    </row>
    <row r="293" spans="1:5">
      <c r="A293" s="401"/>
      <c r="B293" s="453"/>
      <c r="C293" s="429"/>
      <c r="D293" s="399"/>
      <c r="E293" s="397"/>
    </row>
    <row r="294" spans="1:5">
      <c r="A294" s="401"/>
      <c r="B294" s="453"/>
      <c r="C294" s="429"/>
      <c r="D294" s="399"/>
      <c r="E294" s="397"/>
    </row>
    <row r="295" spans="1:5">
      <c r="A295" s="401"/>
      <c r="B295" s="453"/>
      <c r="C295" s="429"/>
      <c r="D295" s="399"/>
      <c r="E295" s="397"/>
    </row>
    <row r="296" spans="1:5">
      <c r="A296" s="401"/>
      <c r="B296" s="453"/>
      <c r="C296" s="429"/>
      <c r="D296" s="399"/>
      <c r="E296" s="397"/>
    </row>
    <row r="297" spans="1:5">
      <c r="A297" s="401"/>
      <c r="B297" s="453"/>
      <c r="C297" s="429"/>
      <c r="D297" s="399"/>
      <c r="E297" s="397"/>
    </row>
    <row r="298" spans="1:5">
      <c r="A298" s="401"/>
      <c r="B298" s="453"/>
      <c r="C298" s="429"/>
      <c r="D298" s="399"/>
      <c r="E298" s="397"/>
    </row>
    <row r="299" spans="1:5">
      <c r="A299" s="401"/>
      <c r="B299" s="453"/>
      <c r="C299" s="429"/>
      <c r="D299" s="399"/>
      <c r="E299" s="397"/>
    </row>
    <row r="300" spans="1:5">
      <c r="A300" s="401"/>
      <c r="B300" s="453"/>
      <c r="C300" s="429"/>
      <c r="D300" s="399"/>
      <c r="E300" s="397"/>
    </row>
    <row r="301" spans="1:5">
      <c r="A301" s="401"/>
      <c r="B301" s="453"/>
      <c r="C301" s="429"/>
      <c r="D301" s="399"/>
      <c r="E301" s="397"/>
    </row>
    <row r="302" spans="1:5">
      <c r="A302" s="401"/>
      <c r="B302" s="453"/>
      <c r="C302" s="429"/>
      <c r="D302" s="399"/>
      <c r="E302" s="397"/>
    </row>
    <row r="303" spans="1:5">
      <c r="A303" s="401"/>
      <c r="B303" s="453"/>
      <c r="C303" s="429"/>
      <c r="D303" s="399"/>
      <c r="E303" s="397"/>
    </row>
    <row r="304" spans="1:5">
      <c r="A304" s="401"/>
      <c r="B304" s="453"/>
      <c r="C304" s="429"/>
      <c r="D304" s="399"/>
      <c r="E304" s="397"/>
    </row>
    <row r="305" spans="1:5">
      <c r="A305" s="401"/>
      <c r="B305" s="453"/>
      <c r="C305" s="429"/>
      <c r="D305" s="399"/>
      <c r="E305" s="397"/>
    </row>
    <row r="306" spans="1:5">
      <c r="A306" s="401"/>
      <c r="B306" s="453"/>
      <c r="C306" s="429"/>
      <c r="D306" s="399"/>
      <c r="E306" s="397"/>
    </row>
    <row r="307" spans="1:5">
      <c r="A307" s="401"/>
      <c r="B307" s="453"/>
      <c r="C307" s="429"/>
      <c r="D307" s="399"/>
      <c r="E307" s="397"/>
    </row>
    <row r="308" spans="1:5">
      <c r="A308" s="401"/>
      <c r="B308" s="453"/>
      <c r="C308" s="429"/>
      <c r="D308" s="399"/>
      <c r="E308" s="397"/>
    </row>
    <row r="309" spans="1:5">
      <c r="A309" s="401"/>
      <c r="B309" s="453"/>
      <c r="C309" s="429"/>
      <c r="D309" s="399"/>
      <c r="E309" s="397"/>
    </row>
    <row r="310" spans="1:5">
      <c r="A310" s="401"/>
      <c r="B310" s="453"/>
      <c r="C310" s="429"/>
      <c r="D310" s="399"/>
      <c r="E310" s="397"/>
    </row>
    <row r="311" spans="1:5">
      <c r="A311" s="401"/>
      <c r="B311" s="453"/>
      <c r="C311" s="429"/>
      <c r="D311" s="399"/>
      <c r="E311" s="397"/>
    </row>
    <row r="312" spans="1:5">
      <c r="A312" s="401"/>
      <c r="B312" s="453"/>
      <c r="C312" s="429"/>
      <c r="D312" s="399"/>
      <c r="E312" s="397"/>
    </row>
    <row r="313" spans="1:5">
      <c r="A313" s="401"/>
      <c r="B313" s="453"/>
      <c r="C313" s="429"/>
      <c r="D313" s="399"/>
      <c r="E313" s="397"/>
    </row>
    <row r="314" spans="1:5">
      <c r="A314" s="401"/>
      <c r="B314" s="453"/>
      <c r="C314" s="429"/>
      <c r="D314" s="399"/>
      <c r="E314" s="397"/>
    </row>
    <row r="315" spans="1:5">
      <c r="A315" s="401"/>
      <c r="B315" s="453"/>
      <c r="C315" s="429"/>
      <c r="D315" s="399"/>
      <c r="E315" s="397"/>
    </row>
    <row r="316" spans="1:5">
      <c r="A316" s="401"/>
      <c r="B316" s="453"/>
      <c r="C316" s="429"/>
      <c r="D316" s="399"/>
      <c r="E316" s="397"/>
    </row>
    <row r="317" spans="1:5">
      <c r="A317" s="401"/>
      <c r="B317" s="453"/>
      <c r="C317" s="429"/>
      <c r="D317" s="399"/>
      <c r="E317" s="397"/>
    </row>
    <row r="318" spans="1:5">
      <c r="A318" s="401"/>
      <c r="B318" s="453"/>
      <c r="C318" s="429"/>
      <c r="D318" s="399"/>
      <c r="E318" s="397"/>
    </row>
    <row r="319" spans="1:5">
      <c r="A319" s="401"/>
      <c r="B319" s="453"/>
      <c r="C319" s="429"/>
      <c r="D319" s="399"/>
      <c r="E319" s="397"/>
    </row>
    <row r="320" spans="1:5">
      <c r="A320" s="401"/>
      <c r="B320" s="453"/>
      <c r="C320" s="429"/>
      <c r="D320" s="399"/>
      <c r="E320" s="397"/>
    </row>
    <row r="321" spans="1:5">
      <c r="A321" s="401"/>
      <c r="B321" s="453"/>
      <c r="C321" s="429"/>
      <c r="D321" s="399"/>
      <c r="E321" s="397"/>
    </row>
    <row r="322" spans="1:5">
      <c r="A322" s="401"/>
      <c r="B322" s="453"/>
      <c r="C322" s="429"/>
      <c r="D322" s="399"/>
      <c r="E322" s="397"/>
    </row>
    <row r="323" spans="1:5">
      <c r="A323" s="401"/>
      <c r="B323" s="453"/>
      <c r="C323" s="429"/>
      <c r="D323" s="399"/>
      <c r="E323" s="397"/>
    </row>
    <row r="324" spans="1:5">
      <c r="A324" s="401"/>
      <c r="B324" s="453"/>
      <c r="C324" s="429"/>
      <c r="D324" s="399"/>
      <c r="E324" s="397"/>
    </row>
    <row r="325" spans="1:5">
      <c r="A325" s="401"/>
      <c r="B325" s="453"/>
      <c r="C325" s="429"/>
      <c r="D325" s="399"/>
      <c r="E325" s="397"/>
    </row>
    <row r="326" spans="1:5">
      <c r="A326" s="401"/>
      <c r="B326" s="453"/>
      <c r="C326" s="429"/>
      <c r="D326" s="399"/>
      <c r="E326" s="397"/>
    </row>
    <row r="327" spans="1:5">
      <c r="A327" s="401"/>
      <c r="B327" s="453"/>
      <c r="C327" s="429"/>
      <c r="D327" s="399"/>
      <c r="E327" s="397"/>
    </row>
    <row r="328" spans="1:5">
      <c r="A328" s="401"/>
      <c r="B328" s="453"/>
      <c r="C328" s="429"/>
      <c r="D328" s="399"/>
      <c r="E328" s="397"/>
    </row>
    <row r="329" spans="1:5">
      <c r="A329" s="401"/>
      <c r="B329" s="453"/>
      <c r="C329" s="429"/>
      <c r="D329" s="399"/>
      <c r="E329" s="397"/>
    </row>
    <row r="330" spans="1:5">
      <c r="A330" s="401"/>
      <c r="B330" s="453"/>
      <c r="C330" s="429"/>
      <c r="D330" s="399"/>
      <c r="E330" s="397"/>
    </row>
    <row r="331" spans="1:5">
      <c r="A331" s="401"/>
      <c r="B331" s="453"/>
      <c r="C331" s="429"/>
      <c r="D331" s="399"/>
      <c r="E331" s="397"/>
    </row>
    <row r="332" spans="1:5">
      <c r="A332" s="401"/>
      <c r="B332" s="453"/>
      <c r="C332" s="429"/>
      <c r="D332" s="399"/>
      <c r="E332" s="397"/>
    </row>
    <row r="333" spans="1:5">
      <c r="A333" s="401"/>
      <c r="B333" s="453"/>
      <c r="C333" s="429"/>
      <c r="D333" s="399"/>
      <c r="E333" s="397"/>
    </row>
    <row r="334" spans="1:5">
      <c r="A334" s="401"/>
      <c r="B334" s="453"/>
      <c r="C334" s="429"/>
      <c r="D334" s="399"/>
      <c r="E334" s="397"/>
    </row>
    <row r="335" spans="1:5">
      <c r="A335" s="401"/>
      <c r="B335" s="453"/>
      <c r="C335" s="429"/>
      <c r="D335" s="399"/>
      <c r="E335" s="397"/>
    </row>
    <row r="336" spans="1:5">
      <c r="A336" s="401"/>
      <c r="B336" s="453"/>
      <c r="C336" s="429"/>
      <c r="D336" s="399"/>
      <c r="E336" s="397"/>
    </row>
    <row r="337" spans="1:5">
      <c r="A337" s="401"/>
      <c r="B337" s="453"/>
      <c r="C337" s="429"/>
      <c r="D337" s="399"/>
      <c r="E337" s="397"/>
    </row>
    <row r="338" spans="1:5">
      <c r="A338" s="401"/>
      <c r="B338" s="453"/>
      <c r="C338" s="429"/>
      <c r="D338" s="399"/>
      <c r="E338" s="397"/>
    </row>
    <row r="339" spans="1:5">
      <c r="A339" s="401"/>
      <c r="B339" s="453"/>
      <c r="C339" s="429"/>
      <c r="D339" s="399"/>
      <c r="E339" s="397"/>
    </row>
    <row r="340" spans="1:5">
      <c r="A340" s="401"/>
      <c r="B340" s="453"/>
      <c r="C340" s="429"/>
      <c r="D340" s="399"/>
      <c r="E340" s="397"/>
    </row>
    <row r="341" spans="1:5">
      <c r="A341" s="401"/>
      <c r="B341" s="453"/>
      <c r="C341" s="429"/>
      <c r="D341" s="399"/>
      <c r="E341" s="397"/>
    </row>
    <row r="342" spans="1:5">
      <c r="A342" s="401"/>
      <c r="B342" s="453"/>
      <c r="C342" s="429"/>
      <c r="D342" s="399"/>
      <c r="E342" s="397"/>
    </row>
    <row r="343" spans="1:5">
      <c r="A343" s="401"/>
      <c r="B343" s="453"/>
      <c r="C343" s="429"/>
      <c r="D343" s="399"/>
      <c r="E343" s="397"/>
    </row>
    <row r="344" spans="1:5">
      <c r="A344" s="401"/>
      <c r="B344" s="453"/>
      <c r="C344" s="429"/>
      <c r="D344" s="399"/>
      <c r="E344" s="397"/>
    </row>
    <row r="345" spans="1:5">
      <c r="A345" s="401"/>
      <c r="B345" s="453"/>
      <c r="C345" s="429"/>
      <c r="D345" s="399"/>
      <c r="E345" s="397"/>
    </row>
    <row r="346" spans="1:5">
      <c r="A346" s="401"/>
      <c r="B346" s="453"/>
      <c r="C346" s="429"/>
      <c r="D346" s="399"/>
      <c r="E346" s="397"/>
    </row>
    <row r="347" spans="1:5">
      <c r="A347" s="401"/>
      <c r="B347" s="453"/>
      <c r="C347" s="429"/>
      <c r="D347" s="399"/>
      <c r="E347" s="397"/>
    </row>
    <row r="348" spans="1:5">
      <c r="A348" s="401"/>
      <c r="B348" s="453"/>
      <c r="C348" s="429"/>
      <c r="D348" s="399"/>
      <c r="E348" s="397"/>
    </row>
    <row r="349" spans="1:5">
      <c r="A349" s="401"/>
      <c r="B349" s="453"/>
      <c r="C349" s="429"/>
      <c r="D349" s="399"/>
      <c r="E349" s="397"/>
    </row>
    <row r="350" spans="1:5">
      <c r="A350" s="401"/>
      <c r="B350" s="453"/>
      <c r="C350" s="429"/>
      <c r="D350" s="399"/>
      <c r="E350" s="397"/>
    </row>
    <row r="351" spans="1:5">
      <c r="A351" s="401"/>
      <c r="B351" s="453"/>
      <c r="C351" s="429"/>
      <c r="D351" s="399"/>
      <c r="E351" s="397"/>
    </row>
    <row r="352" spans="1:5">
      <c r="A352" s="401"/>
      <c r="B352" s="453"/>
      <c r="C352" s="429"/>
      <c r="D352" s="399"/>
      <c r="E352" s="397"/>
    </row>
    <row r="353" spans="1:5">
      <c r="A353" s="401"/>
      <c r="B353" s="453"/>
      <c r="C353" s="429"/>
      <c r="D353" s="399"/>
      <c r="E353" s="397"/>
    </row>
    <row r="354" spans="1:5">
      <c r="A354" s="401"/>
      <c r="B354" s="453"/>
      <c r="C354" s="429"/>
      <c r="D354" s="399"/>
      <c r="E354" s="397"/>
    </row>
    <row r="355" spans="1:5">
      <c r="A355" s="401"/>
      <c r="B355" s="453"/>
      <c r="C355" s="429"/>
      <c r="D355" s="399"/>
      <c r="E355" s="397"/>
    </row>
    <row r="356" spans="1:5">
      <c r="A356" s="401"/>
      <c r="B356" s="453"/>
      <c r="C356" s="429"/>
      <c r="D356" s="399"/>
      <c r="E356" s="397"/>
    </row>
    <row r="357" spans="1:5">
      <c r="A357" s="401"/>
      <c r="B357" s="453"/>
      <c r="C357" s="429"/>
      <c r="D357" s="399"/>
      <c r="E357" s="397"/>
    </row>
    <row r="358" spans="1:5">
      <c r="A358" s="401"/>
      <c r="B358" s="453"/>
      <c r="C358" s="429"/>
      <c r="D358" s="399"/>
      <c r="E358" s="397"/>
    </row>
    <row r="359" spans="1:5">
      <c r="A359" s="401"/>
      <c r="B359" s="453"/>
      <c r="C359" s="429"/>
      <c r="D359" s="399"/>
      <c r="E359" s="397"/>
    </row>
    <row r="360" spans="1:5">
      <c r="A360" s="401"/>
      <c r="B360" s="453"/>
      <c r="C360" s="429"/>
      <c r="D360" s="399"/>
      <c r="E360" s="397"/>
    </row>
    <row r="361" spans="1:5">
      <c r="A361" s="401"/>
      <c r="B361" s="453"/>
      <c r="C361" s="429"/>
      <c r="D361" s="399"/>
      <c r="E361" s="397"/>
    </row>
    <row r="362" spans="1:5">
      <c r="A362" s="401"/>
      <c r="B362" s="453"/>
      <c r="C362" s="429"/>
      <c r="D362" s="399"/>
      <c r="E362" s="397"/>
    </row>
    <row r="363" spans="1:5">
      <c r="A363" s="401"/>
      <c r="B363" s="453"/>
      <c r="C363" s="429"/>
      <c r="D363" s="399"/>
      <c r="E363" s="397"/>
    </row>
    <row r="364" spans="1:5">
      <c r="A364" s="401"/>
      <c r="B364" s="453"/>
      <c r="C364" s="429"/>
      <c r="D364" s="399"/>
      <c r="E364" s="397"/>
    </row>
    <row r="365" spans="1:5">
      <c r="A365" s="401"/>
      <c r="B365" s="453"/>
      <c r="C365" s="429"/>
      <c r="D365" s="399"/>
      <c r="E365" s="397"/>
    </row>
    <row r="366" spans="1:5">
      <c r="A366" s="401"/>
      <c r="B366" s="453"/>
      <c r="C366" s="429"/>
      <c r="D366" s="399"/>
      <c r="E366" s="397"/>
    </row>
    <row r="367" spans="1:5">
      <c r="A367" s="401"/>
      <c r="B367" s="453"/>
      <c r="C367" s="429"/>
      <c r="D367" s="399"/>
      <c r="E367" s="397"/>
    </row>
    <row r="368" spans="1:5">
      <c r="A368" s="401"/>
      <c r="B368" s="453"/>
      <c r="C368" s="429"/>
      <c r="D368" s="399"/>
      <c r="E368" s="397"/>
    </row>
    <row r="369" spans="1:5">
      <c r="A369" s="401"/>
      <c r="B369" s="453"/>
      <c r="C369" s="429"/>
      <c r="D369" s="399"/>
      <c r="E369" s="397"/>
    </row>
    <row r="370" spans="1:5">
      <c r="A370" s="401"/>
      <c r="B370" s="453"/>
      <c r="C370" s="429"/>
      <c r="D370" s="399"/>
      <c r="E370" s="397"/>
    </row>
    <row r="371" spans="1:5">
      <c r="A371" s="401"/>
      <c r="B371" s="453"/>
      <c r="C371" s="429"/>
      <c r="D371" s="399"/>
      <c r="E371" s="397"/>
    </row>
    <row r="372" spans="1:5">
      <c r="A372" s="401"/>
      <c r="B372" s="453"/>
      <c r="C372" s="429"/>
      <c r="D372" s="399"/>
      <c r="E372" s="397"/>
    </row>
    <row r="373" spans="1:5">
      <c r="A373" s="401"/>
      <c r="B373" s="453"/>
      <c r="C373" s="429"/>
      <c r="D373" s="399"/>
      <c r="E373" s="397"/>
    </row>
    <row r="374" spans="1:5">
      <c r="A374" s="401"/>
      <c r="B374" s="453"/>
      <c r="C374" s="429"/>
      <c r="D374" s="399"/>
      <c r="E374" s="397"/>
    </row>
    <row r="375" spans="1:5">
      <c r="A375" s="401"/>
      <c r="B375" s="453"/>
      <c r="C375" s="429"/>
      <c r="D375" s="399"/>
      <c r="E375" s="397"/>
    </row>
    <row r="376" spans="1:5">
      <c r="A376" s="401"/>
      <c r="B376" s="453"/>
      <c r="C376" s="429"/>
      <c r="D376" s="399"/>
      <c r="E376" s="397"/>
    </row>
    <row r="377" spans="1:5">
      <c r="A377" s="401"/>
      <c r="B377" s="453"/>
      <c r="C377" s="429"/>
      <c r="D377" s="399"/>
      <c r="E377" s="397"/>
    </row>
    <row r="378" spans="1:5">
      <c r="A378" s="401"/>
      <c r="B378" s="453"/>
      <c r="C378" s="429"/>
      <c r="D378" s="399"/>
      <c r="E378" s="397"/>
    </row>
    <row r="379" spans="1:5">
      <c r="A379" s="401"/>
      <c r="B379" s="453"/>
      <c r="C379" s="429"/>
      <c r="D379" s="399"/>
      <c r="E379" s="397"/>
    </row>
    <row r="380" spans="1:5">
      <c r="A380" s="401"/>
      <c r="B380" s="453"/>
      <c r="C380" s="429"/>
      <c r="D380" s="399"/>
      <c r="E380" s="397"/>
    </row>
    <row r="381" spans="1:5">
      <c r="A381" s="401"/>
      <c r="B381" s="453"/>
      <c r="C381" s="429"/>
      <c r="D381" s="399"/>
      <c r="E381" s="397"/>
    </row>
    <row r="382" spans="1:5">
      <c r="A382" s="401"/>
      <c r="B382" s="453"/>
      <c r="C382" s="429"/>
      <c r="D382" s="399"/>
      <c r="E382" s="397"/>
    </row>
    <row r="383" spans="1:5">
      <c r="A383" s="401"/>
      <c r="B383" s="453"/>
      <c r="C383" s="429"/>
      <c r="D383" s="399"/>
      <c r="E383" s="397"/>
    </row>
    <row r="384" spans="1:5">
      <c r="A384" s="401"/>
      <c r="B384" s="453"/>
      <c r="C384" s="429"/>
      <c r="D384" s="399"/>
      <c r="E384" s="397"/>
    </row>
    <row r="385" spans="1:5">
      <c r="A385" s="401"/>
      <c r="B385" s="453"/>
      <c r="C385" s="429"/>
      <c r="D385" s="399"/>
      <c r="E385" s="397"/>
    </row>
    <row r="386" spans="1:5">
      <c r="A386" s="401"/>
      <c r="B386" s="453"/>
      <c r="C386" s="429"/>
      <c r="D386" s="399"/>
      <c r="E386" s="397"/>
    </row>
    <row r="387" spans="1:5">
      <c r="A387" s="401"/>
      <c r="B387" s="453"/>
      <c r="C387" s="429"/>
      <c r="D387" s="399"/>
      <c r="E387" s="397"/>
    </row>
    <row r="388" spans="1:5">
      <c r="A388" s="401"/>
      <c r="B388" s="453"/>
      <c r="C388" s="429"/>
      <c r="D388" s="399"/>
      <c r="E388" s="397"/>
    </row>
    <row r="389" spans="1:5">
      <c r="A389" s="401"/>
      <c r="B389" s="453"/>
      <c r="C389" s="429"/>
      <c r="D389" s="399"/>
      <c r="E389" s="397"/>
    </row>
    <row r="390" spans="1:5">
      <c r="A390" s="401"/>
      <c r="B390" s="453"/>
      <c r="C390" s="429"/>
      <c r="D390" s="399"/>
      <c r="E390" s="397"/>
    </row>
    <row r="391" spans="1:5">
      <c r="A391" s="401"/>
      <c r="B391" s="453"/>
      <c r="C391" s="429"/>
      <c r="D391" s="399"/>
      <c r="E391" s="397"/>
    </row>
    <row r="392" spans="1:5">
      <c r="A392" s="401"/>
      <c r="B392" s="453"/>
      <c r="C392" s="429"/>
      <c r="D392" s="399"/>
      <c r="E392" s="397"/>
    </row>
    <row r="393" spans="1:5">
      <c r="A393" s="401"/>
      <c r="B393" s="453"/>
      <c r="C393" s="429"/>
      <c r="D393" s="399"/>
      <c r="E393" s="397"/>
    </row>
    <row r="394" spans="1:5">
      <c r="A394" s="401"/>
      <c r="B394" s="453"/>
      <c r="C394" s="429"/>
      <c r="D394" s="399"/>
      <c r="E394" s="397"/>
    </row>
    <row r="395" spans="1:5">
      <c r="A395" s="401"/>
      <c r="B395" s="453"/>
      <c r="C395" s="429"/>
      <c r="D395" s="399"/>
      <c r="E395" s="397"/>
    </row>
    <row r="396" spans="1:5">
      <c r="A396" s="401"/>
      <c r="B396" s="453"/>
      <c r="C396" s="429"/>
      <c r="D396" s="399"/>
      <c r="E396" s="397"/>
    </row>
    <row r="397" spans="1:5">
      <c r="A397" s="401"/>
      <c r="B397" s="453"/>
      <c r="C397" s="429"/>
      <c r="D397" s="399"/>
      <c r="E397" s="397"/>
    </row>
    <row r="398" spans="1:5">
      <c r="A398" s="401"/>
      <c r="B398" s="453"/>
      <c r="C398" s="429"/>
      <c r="D398" s="399"/>
      <c r="E398" s="397"/>
    </row>
    <row r="399" spans="1:5">
      <c r="A399" s="401"/>
      <c r="B399" s="453"/>
      <c r="C399" s="429"/>
      <c r="D399" s="399"/>
      <c r="E399" s="397"/>
    </row>
    <row r="400" spans="1:5">
      <c r="A400" s="401"/>
      <c r="B400" s="453"/>
      <c r="C400" s="429"/>
      <c r="D400" s="399"/>
      <c r="E400" s="397"/>
    </row>
    <row r="401" spans="1:5">
      <c r="A401" s="401"/>
      <c r="B401" s="453"/>
      <c r="C401" s="429"/>
      <c r="D401" s="399"/>
      <c r="E401" s="397"/>
    </row>
    <row r="402" spans="1:5">
      <c r="A402" s="401"/>
      <c r="B402" s="453"/>
      <c r="C402" s="429"/>
      <c r="D402" s="399"/>
      <c r="E402" s="397"/>
    </row>
    <row r="403" spans="1:5">
      <c r="A403" s="401"/>
      <c r="B403" s="453"/>
      <c r="C403" s="429"/>
      <c r="D403" s="399"/>
      <c r="E403" s="397"/>
    </row>
    <row r="404" spans="1:5">
      <c r="A404" s="401"/>
      <c r="B404" s="453"/>
      <c r="C404" s="429"/>
      <c r="D404" s="399"/>
      <c r="E404" s="397"/>
    </row>
    <row r="405" spans="1:5">
      <c r="A405" s="401"/>
      <c r="B405" s="453"/>
      <c r="C405" s="429"/>
      <c r="D405" s="399"/>
      <c r="E405" s="397"/>
    </row>
    <row r="406" spans="1:5">
      <c r="A406" s="401"/>
      <c r="B406" s="453"/>
      <c r="C406" s="429"/>
      <c r="D406" s="399"/>
      <c r="E406" s="397"/>
    </row>
    <row r="407" spans="1:5">
      <c r="A407" s="401"/>
      <c r="B407" s="453"/>
      <c r="C407" s="429"/>
      <c r="D407" s="399"/>
      <c r="E407" s="397"/>
    </row>
    <row r="408" spans="1:5">
      <c r="A408" s="401"/>
      <c r="B408" s="453"/>
      <c r="C408" s="429"/>
      <c r="D408" s="399"/>
      <c r="E408" s="397"/>
    </row>
    <row r="409" spans="1:5">
      <c r="A409" s="401"/>
      <c r="B409" s="453"/>
      <c r="C409" s="429"/>
      <c r="D409" s="399"/>
      <c r="E409" s="397"/>
    </row>
    <row r="410" spans="1:5">
      <c r="A410" s="401"/>
      <c r="B410" s="453"/>
      <c r="C410" s="429"/>
      <c r="D410" s="399"/>
      <c r="E410" s="397"/>
    </row>
    <row r="411" spans="1:5">
      <c r="A411" s="401"/>
      <c r="B411" s="453"/>
      <c r="C411" s="429"/>
      <c r="D411" s="399"/>
      <c r="E411" s="397"/>
    </row>
    <row r="412" spans="1:5">
      <c r="A412" s="401"/>
      <c r="B412" s="453"/>
      <c r="C412" s="429"/>
      <c r="D412" s="399"/>
      <c r="E412" s="397"/>
    </row>
    <row r="413" spans="1:5">
      <c r="A413" s="401"/>
      <c r="B413" s="453"/>
      <c r="C413" s="429"/>
      <c r="D413" s="399"/>
      <c r="E413" s="397"/>
    </row>
    <row r="414" spans="1:5">
      <c r="A414" s="401"/>
      <c r="B414" s="453"/>
      <c r="C414" s="429"/>
      <c r="D414" s="399"/>
      <c r="E414" s="397"/>
    </row>
    <row r="415" spans="1:5">
      <c r="A415" s="401"/>
      <c r="B415" s="453"/>
      <c r="C415" s="429"/>
      <c r="D415" s="399"/>
      <c r="E415" s="397"/>
    </row>
    <row r="416" spans="1:5">
      <c r="A416" s="401"/>
      <c r="B416" s="453"/>
      <c r="C416" s="429"/>
      <c r="D416" s="399"/>
      <c r="E416" s="397"/>
    </row>
    <row r="417" spans="1:5">
      <c r="A417" s="401"/>
      <c r="B417" s="453"/>
      <c r="C417" s="429"/>
      <c r="D417" s="399"/>
      <c r="E417" s="397"/>
    </row>
    <row r="418" spans="1:5">
      <c r="A418" s="401"/>
      <c r="B418" s="453"/>
      <c r="C418" s="429"/>
      <c r="D418" s="399"/>
      <c r="E418" s="397"/>
    </row>
    <row r="419" spans="1:5">
      <c r="A419" s="401"/>
      <c r="B419" s="453"/>
      <c r="C419" s="429"/>
      <c r="D419" s="399"/>
      <c r="E419" s="397"/>
    </row>
    <row r="420" spans="1:5">
      <c r="A420" s="401"/>
      <c r="B420" s="453"/>
      <c r="C420" s="429"/>
      <c r="D420" s="399"/>
      <c r="E420" s="397"/>
    </row>
    <row r="421" spans="1:5">
      <c r="A421" s="401"/>
      <c r="B421" s="453"/>
      <c r="C421" s="429"/>
      <c r="D421" s="399"/>
      <c r="E421" s="397"/>
    </row>
    <row r="422" spans="1:5">
      <c r="A422" s="401"/>
      <c r="B422" s="453"/>
      <c r="C422" s="429"/>
      <c r="D422" s="399"/>
      <c r="E422" s="397"/>
    </row>
    <row r="423" spans="1:5">
      <c r="A423" s="401"/>
      <c r="B423" s="453"/>
      <c r="C423" s="429"/>
      <c r="D423" s="399"/>
      <c r="E423" s="397"/>
    </row>
    <row r="424" spans="1:5">
      <c r="A424" s="401"/>
      <c r="B424" s="453"/>
      <c r="C424" s="429"/>
      <c r="D424" s="399"/>
      <c r="E424" s="397"/>
    </row>
    <row r="425" spans="1:5">
      <c r="A425" s="401"/>
      <c r="B425" s="453"/>
      <c r="C425" s="429"/>
      <c r="D425" s="399"/>
      <c r="E425" s="397"/>
    </row>
    <row r="426" spans="1:5">
      <c r="A426" s="401"/>
      <c r="B426" s="453"/>
      <c r="C426" s="429"/>
      <c r="D426" s="399"/>
      <c r="E426" s="397"/>
    </row>
    <row r="427" spans="1:5">
      <c r="A427" s="401"/>
      <c r="B427" s="453"/>
      <c r="C427" s="429"/>
      <c r="D427" s="399"/>
      <c r="E427" s="397"/>
    </row>
    <row r="428" spans="1:5">
      <c r="A428" s="401"/>
      <c r="B428" s="453"/>
      <c r="C428" s="429"/>
      <c r="D428" s="399"/>
      <c r="E428" s="397"/>
    </row>
    <row r="429" spans="1:5">
      <c r="A429" s="401"/>
      <c r="B429" s="453"/>
      <c r="C429" s="429"/>
      <c r="D429" s="399"/>
      <c r="E429" s="397"/>
    </row>
    <row r="430" spans="1:5">
      <c r="A430" s="401"/>
      <c r="B430" s="453"/>
      <c r="C430" s="429"/>
      <c r="D430" s="399"/>
      <c r="E430" s="397"/>
    </row>
    <row r="431" spans="1:5">
      <c r="A431" s="401"/>
      <c r="B431" s="453"/>
      <c r="C431" s="429"/>
      <c r="D431" s="399"/>
      <c r="E431" s="397"/>
    </row>
    <row r="432" spans="1:5">
      <c r="A432" s="401"/>
      <c r="B432" s="453"/>
      <c r="C432" s="429"/>
      <c r="D432" s="399"/>
      <c r="E432" s="397"/>
    </row>
    <row r="433" spans="1:5">
      <c r="A433" s="401"/>
      <c r="B433" s="453"/>
      <c r="C433" s="429"/>
      <c r="D433" s="399"/>
      <c r="E433" s="397"/>
    </row>
    <row r="434" spans="1:5">
      <c r="A434" s="401"/>
      <c r="B434" s="453"/>
      <c r="C434" s="429"/>
      <c r="D434" s="399"/>
      <c r="E434" s="397"/>
    </row>
    <row r="435" spans="1:5">
      <c r="A435" s="401"/>
      <c r="B435" s="453"/>
      <c r="C435" s="429"/>
      <c r="D435" s="399"/>
      <c r="E435" s="397"/>
    </row>
    <row r="436" spans="1:5">
      <c r="A436" s="401"/>
      <c r="B436" s="453"/>
      <c r="C436" s="429"/>
      <c r="D436" s="399"/>
      <c r="E436" s="397"/>
    </row>
    <row r="437" spans="1:5">
      <c r="A437" s="401"/>
      <c r="B437" s="453"/>
      <c r="C437" s="429"/>
      <c r="D437" s="399"/>
      <c r="E437" s="397"/>
    </row>
    <row r="438" spans="1:5">
      <c r="A438" s="401"/>
      <c r="B438" s="453"/>
      <c r="C438" s="429"/>
      <c r="D438" s="399"/>
      <c r="E438" s="397"/>
    </row>
    <row r="439" spans="1:5">
      <c r="A439" s="401"/>
      <c r="B439" s="453"/>
      <c r="C439" s="429"/>
      <c r="D439" s="399"/>
      <c r="E439" s="397"/>
    </row>
    <row r="440" spans="1:5">
      <c r="A440" s="401"/>
      <c r="B440" s="453"/>
      <c r="C440" s="429"/>
      <c r="D440" s="399"/>
      <c r="E440" s="397"/>
    </row>
    <row r="441" spans="1:5">
      <c r="A441" s="401"/>
      <c r="B441" s="453"/>
      <c r="C441" s="429"/>
      <c r="D441" s="399"/>
      <c r="E441" s="397"/>
    </row>
    <row r="442" spans="1:5">
      <c r="A442" s="401"/>
      <c r="B442" s="453"/>
      <c r="C442" s="429"/>
      <c r="D442" s="399"/>
      <c r="E442" s="397"/>
    </row>
    <row r="443" spans="1:5">
      <c r="A443" s="401"/>
      <c r="B443" s="453"/>
      <c r="C443" s="429"/>
      <c r="D443" s="399"/>
      <c r="E443" s="397"/>
    </row>
    <row r="444" spans="1:5">
      <c r="A444" s="401"/>
      <c r="B444" s="453"/>
      <c r="C444" s="429"/>
      <c r="D444" s="399"/>
      <c r="E444" s="397"/>
    </row>
    <row r="445" spans="1:5">
      <c r="A445" s="401"/>
      <c r="B445" s="453"/>
      <c r="C445" s="429"/>
      <c r="D445" s="399"/>
      <c r="E445" s="397"/>
    </row>
    <row r="446" spans="1:5">
      <c r="A446" s="401"/>
      <c r="B446" s="453"/>
      <c r="C446" s="429"/>
      <c r="D446" s="399"/>
      <c r="E446" s="397"/>
    </row>
    <row r="447" spans="1:5">
      <c r="A447" s="401"/>
      <c r="B447" s="453"/>
      <c r="C447" s="429"/>
      <c r="D447" s="399"/>
      <c r="E447" s="397"/>
    </row>
    <row r="448" spans="1:5">
      <c r="A448" s="401"/>
      <c r="B448" s="453"/>
      <c r="C448" s="429"/>
      <c r="D448" s="399"/>
      <c r="E448" s="397"/>
    </row>
    <row r="449" spans="1:5">
      <c r="A449" s="401"/>
      <c r="B449" s="453"/>
      <c r="C449" s="429"/>
      <c r="D449" s="399"/>
      <c r="E449" s="397"/>
    </row>
    <row r="450" spans="1:5">
      <c r="A450" s="401"/>
      <c r="B450" s="453"/>
      <c r="C450" s="429"/>
      <c r="D450" s="399"/>
      <c r="E450" s="397"/>
    </row>
    <row r="451" spans="1:5">
      <c r="A451" s="401"/>
      <c r="B451" s="453"/>
      <c r="C451" s="429"/>
      <c r="D451" s="399"/>
      <c r="E451" s="397"/>
    </row>
    <row r="452" spans="1:5">
      <c r="A452" s="401"/>
      <c r="B452" s="453"/>
      <c r="C452" s="429"/>
      <c r="D452" s="399"/>
      <c r="E452" s="397"/>
    </row>
    <row r="453" spans="1:5">
      <c r="A453" s="401"/>
      <c r="B453" s="453"/>
      <c r="C453" s="429"/>
      <c r="D453" s="399"/>
      <c r="E453" s="397"/>
    </row>
    <row r="454" spans="1:5">
      <c r="A454" s="401"/>
      <c r="B454" s="453"/>
      <c r="C454" s="429"/>
      <c r="D454" s="399"/>
      <c r="E454" s="397"/>
    </row>
    <row r="455" spans="1:5">
      <c r="A455" s="401"/>
      <c r="B455" s="453"/>
      <c r="C455" s="429"/>
      <c r="D455" s="399"/>
      <c r="E455" s="397"/>
    </row>
    <row r="456" spans="1:5">
      <c r="A456" s="401"/>
      <c r="B456" s="453"/>
      <c r="C456" s="429"/>
      <c r="D456" s="399"/>
      <c r="E456" s="397"/>
    </row>
    <row r="457" spans="1:5">
      <c r="A457" s="401"/>
      <c r="B457" s="453"/>
      <c r="C457" s="429"/>
      <c r="D457" s="399"/>
      <c r="E457" s="397"/>
    </row>
    <row r="458" spans="1:5">
      <c r="A458" s="401"/>
      <c r="B458" s="453"/>
      <c r="C458" s="429"/>
      <c r="D458" s="399"/>
      <c r="E458" s="397"/>
    </row>
    <row r="459" spans="1:5">
      <c r="A459" s="401"/>
      <c r="B459" s="453"/>
      <c r="C459" s="429"/>
      <c r="D459" s="399"/>
      <c r="E459" s="397"/>
    </row>
    <row r="460" spans="1:5">
      <c r="A460" s="401"/>
      <c r="B460" s="453"/>
      <c r="C460" s="429"/>
      <c r="D460" s="399"/>
      <c r="E460" s="397"/>
    </row>
    <row r="461" spans="1:5">
      <c r="A461" s="401"/>
      <c r="B461" s="453"/>
      <c r="C461" s="429"/>
      <c r="D461" s="399"/>
      <c r="E461" s="397"/>
    </row>
    <row r="462" spans="1:5">
      <c r="A462" s="401"/>
      <c r="B462" s="453"/>
      <c r="C462" s="429"/>
      <c r="D462" s="399"/>
      <c r="E462" s="397"/>
    </row>
    <row r="463" spans="1:5">
      <c r="A463" s="401"/>
      <c r="B463" s="453"/>
      <c r="C463" s="429"/>
      <c r="D463" s="399"/>
      <c r="E463" s="397"/>
    </row>
    <row r="464" spans="1:5">
      <c r="A464" s="401"/>
      <c r="B464" s="453"/>
      <c r="C464" s="429"/>
      <c r="D464" s="399"/>
      <c r="E464" s="397"/>
    </row>
    <row r="465" spans="1:5">
      <c r="A465" s="401"/>
      <c r="B465" s="453"/>
      <c r="C465" s="429"/>
      <c r="D465" s="399"/>
      <c r="E465" s="397"/>
    </row>
    <row r="466" spans="1:5">
      <c r="A466" s="401"/>
      <c r="B466" s="453"/>
      <c r="C466" s="429"/>
      <c r="D466" s="399"/>
      <c r="E466" s="397"/>
    </row>
    <row r="467" spans="1:5">
      <c r="A467" s="401"/>
      <c r="B467" s="453"/>
      <c r="C467" s="429"/>
      <c r="D467" s="399"/>
      <c r="E467" s="397"/>
    </row>
    <row r="468" spans="1:5">
      <c r="A468" s="401"/>
      <c r="B468" s="453"/>
      <c r="C468" s="429"/>
      <c r="D468" s="399"/>
      <c r="E468" s="397"/>
    </row>
    <row r="469" spans="1:5">
      <c r="A469" s="401"/>
      <c r="B469" s="453"/>
      <c r="C469" s="429"/>
      <c r="D469" s="399"/>
      <c r="E469" s="397"/>
    </row>
    <row r="470" spans="1:5">
      <c r="A470" s="401"/>
      <c r="B470" s="453"/>
      <c r="C470" s="429"/>
      <c r="D470" s="399"/>
      <c r="E470" s="397"/>
    </row>
    <row r="471" spans="1:5">
      <c r="A471" s="401"/>
      <c r="B471" s="453"/>
      <c r="C471" s="429"/>
      <c r="D471" s="399"/>
      <c r="E471" s="397"/>
    </row>
    <row r="472" spans="1:5">
      <c r="A472" s="401"/>
      <c r="B472" s="453"/>
      <c r="C472" s="429"/>
      <c r="D472" s="399"/>
      <c r="E472" s="397"/>
    </row>
    <row r="473" spans="1:5">
      <c r="A473" s="401"/>
      <c r="B473" s="453"/>
      <c r="C473" s="429"/>
      <c r="D473" s="399"/>
      <c r="E473" s="397"/>
    </row>
    <row r="474" spans="1:5">
      <c r="A474" s="401"/>
      <c r="B474" s="453"/>
      <c r="C474" s="429"/>
      <c r="D474" s="399"/>
      <c r="E474" s="397"/>
    </row>
    <row r="475" spans="1:5">
      <c r="A475" s="401"/>
      <c r="B475" s="453"/>
      <c r="C475" s="429"/>
      <c r="D475" s="399"/>
      <c r="E475" s="397"/>
    </row>
    <row r="476" spans="1:5">
      <c r="A476" s="401"/>
      <c r="B476" s="453"/>
      <c r="C476" s="429"/>
      <c r="D476" s="399"/>
      <c r="E476" s="397"/>
    </row>
    <row r="477" spans="1:5">
      <c r="A477" s="401"/>
      <c r="B477" s="453"/>
      <c r="C477" s="429"/>
      <c r="D477" s="399"/>
      <c r="E477" s="397"/>
    </row>
    <row r="478" spans="1:5">
      <c r="A478" s="401"/>
      <c r="B478" s="453"/>
      <c r="C478" s="429"/>
      <c r="D478" s="399"/>
      <c r="E478" s="397"/>
    </row>
    <row r="479" spans="1:5">
      <c r="A479" s="401"/>
      <c r="B479" s="453"/>
      <c r="C479" s="429"/>
      <c r="D479" s="399"/>
      <c r="E479" s="397"/>
    </row>
    <row r="480" spans="1:5">
      <c r="A480" s="401"/>
      <c r="B480" s="453"/>
      <c r="C480" s="429"/>
      <c r="D480" s="399"/>
      <c r="E480" s="397"/>
    </row>
    <row r="481" spans="1:5">
      <c r="A481" s="401"/>
      <c r="B481" s="453"/>
      <c r="C481" s="429"/>
      <c r="D481" s="399"/>
      <c r="E481" s="397"/>
    </row>
    <row r="482" spans="1:5">
      <c r="A482" s="401"/>
      <c r="B482" s="453"/>
      <c r="C482" s="429"/>
      <c r="D482" s="399"/>
      <c r="E482" s="397"/>
    </row>
    <row r="483" spans="1:5">
      <c r="A483" s="401"/>
      <c r="B483" s="453"/>
      <c r="C483" s="429"/>
      <c r="D483" s="399"/>
      <c r="E483" s="397"/>
    </row>
    <row r="484" spans="1:5">
      <c r="A484" s="401"/>
      <c r="B484" s="453"/>
      <c r="C484" s="429"/>
      <c r="D484" s="399"/>
      <c r="E484" s="397"/>
    </row>
    <row r="485" spans="1:5">
      <c r="A485" s="401"/>
      <c r="B485" s="453"/>
      <c r="C485" s="429"/>
      <c r="D485" s="399"/>
      <c r="E485" s="397"/>
    </row>
    <row r="486" spans="1:5">
      <c r="A486" s="401"/>
      <c r="B486" s="453"/>
      <c r="C486" s="429"/>
      <c r="D486" s="399"/>
      <c r="E486" s="397"/>
    </row>
    <row r="487" spans="1:5">
      <c r="A487" s="401"/>
      <c r="B487" s="453"/>
      <c r="C487" s="429"/>
      <c r="D487" s="399"/>
      <c r="E487" s="397"/>
    </row>
    <row r="488" spans="1:5">
      <c r="A488" s="401"/>
      <c r="B488" s="453"/>
      <c r="C488" s="429"/>
      <c r="D488" s="399"/>
      <c r="E488" s="397"/>
    </row>
    <row r="489" spans="1:5">
      <c r="A489" s="401"/>
      <c r="B489" s="453"/>
      <c r="C489" s="429"/>
      <c r="D489" s="399"/>
      <c r="E489" s="397"/>
    </row>
    <row r="490" spans="1:5">
      <c r="A490" s="401"/>
      <c r="B490" s="453"/>
      <c r="C490" s="429"/>
      <c r="D490" s="399"/>
      <c r="E490" s="397"/>
    </row>
    <row r="491" spans="1:5">
      <c r="A491" s="401"/>
      <c r="B491" s="453"/>
      <c r="C491" s="429"/>
      <c r="D491" s="399"/>
      <c r="E491" s="397"/>
    </row>
    <row r="492" spans="1:5">
      <c r="A492" s="401"/>
      <c r="B492" s="453"/>
      <c r="C492" s="429"/>
      <c r="D492" s="399"/>
      <c r="E492" s="397"/>
    </row>
    <row r="493" spans="1:5">
      <c r="A493" s="401"/>
      <c r="B493" s="453"/>
      <c r="C493" s="429"/>
      <c r="D493" s="399"/>
      <c r="E493" s="397"/>
    </row>
    <row r="494" spans="1:5">
      <c r="A494" s="401"/>
      <c r="B494" s="453"/>
      <c r="C494" s="429"/>
      <c r="D494" s="399"/>
      <c r="E494" s="397"/>
    </row>
    <row r="495" spans="1:5">
      <c r="A495" s="401"/>
      <c r="B495" s="453"/>
      <c r="C495" s="429"/>
      <c r="D495" s="399"/>
      <c r="E495" s="397"/>
    </row>
    <row r="496" spans="1:5">
      <c r="A496" s="401"/>
      <c r="B496" s="453"/>
      <c r="C496" s="429"/>
      <c r="D496" s="399"/>
      <c r="E496" s="397"/>
    </row>
    <row r="497" spans="1:5">
      <c r="A497" s="401"/>
      <c r="B497" s="453"/>
      <c r="C497" s="429"/>
      <c r="D497" s="399"/>
      <c r="E497" s="397"/>
    </row>
    <row r="498" spans="1:5">
      <c r="A498" s="401"/>
      <c r="B498" s="453"/>
      <c r="C498" s="429"/>
      <c r="D498" s="399"/>
      <c r="E498" s="397"/>
    </row>
    <row r="499" spans="1:5">
      <c r="A499" s="401"/>
      <c r="B499" s="453"/>
      <c r="C499" s="429"/>
      <c r="D499" s="399"/>
      <c r="E499" s="397"/>
    </row>
    <row r="500" spans="1:5">
      <c r="A500" s="401"/>
      <c r="B500" s="453"/>
      <c r="C500" s="429"/>
      <c r="D500" s="399"/>
      <c r="E500" s="397"/>
    </row>
    <row r="501" spans="1:5">
      <c r="A501" s="401"/>
      <c r="B501" s="453"/>
      <c r="C501" s="429"/>
      <c r="D501" s="399"/>
      <c r="E501" s="397"/>
    </row>
    <row r="502" spans="1:5">
      <c r="A502" s="401"/>
      <c r="B502" s="453"/>
      <c r="C502" s="429"/>
      <c r="D502" s="399"/>
      <c r="E502" s="397"/>
    </row>
    <row r="503" spans="1:5">
      <c r="A503" s="401"/>
      <c r="B503" s="453"/>
      <c r="C503" s="429"/>
      <c r="D503" s="399"/>
      <c r="E503" s="397"/>
    </row>
    <row r="504" spans="1:5">
      <c r="A504" s="401"/>
      <c r="B504" s="453"/>
      <c r="C504" s="429"/>
      <c r="D504" s="399"/>
      <c r="E504" s="397"/>
    </row>
    <row r="505" spans="1:5">
      <c r="A505" s="401"/>
      <c r="B505" s="453"/>
      <c r="C505" s="429"/>
      <c r="D505" s="399"/>
      <c r="E505" s="397"/>
    </row>
    <row r="506" spans="1:5">
      <c r="A506" s="401"/>
      <c r="B506" s="453"/>
      <c r="C506" s="429"/>
      <c r="D506" s="399"/>
      <c r="E506" s="397"/>
    </row>
    <row r="507" spans="1:5">
      <c r="A507" s="401"/>
      <c r="B507" s="453"/>
      <c r="C507" s="429"/>
      <c r="D507" s="399"/>
      <c r="E507" s="397"/>
    </row>
    <row r="508" spans="1:5">
      <c r="A508" s="401"/>
      <c r="B508" s="453"/>
      <c r="C508" s="429"/>
      <c r="D508" s="399"/>
      <c r="E508" s="397"/>
    </row>
    <row r="509" spans="1:5">
      <c r="A509" s="401"/>
      <c r="B509" s="453"/>
      <c r="C509" s="429"/>
      <c r="D509" s="399"/>
      <c r="E509" s="397"/>
    </row>
    <row r="510" spans="1:5">
      <c r="A510" s="401"/>
      <c r="B510" s="453"/>
      <c r="C510" s="429"/>
      <c r="D510" s="399"/>
      <c r="E510" s="397"/>
    </row>
    <row r="511" spans="1:5">
      <c r="A511" s="401"/>
      <c r="B511" s="453"/>
      <c r="C511" s="429"/>
      <c r="D511" s="399"/>
      <c r="E511" s="397"/>
    </row>
    <row r="512" spans="1:5">
      <c r="A512" s="401"/>
      <c r="B512" s="453"/>
      <c r="C512" s="429"/>
      <c r="D512" s="399"/>
      <c r="E512" s="397"/>
    </row>
    <row r="513" spans="1:5">
      <c r="A513" s="401"/>
      <c r="B513" s="453"/>
      <c r="C513" s="429"/>
      <c r="D513" s="399"/>
      <c r="E513" s="397"/>
    </row>
    <row r="514" spans="1:5">
      <c r="A514" s="401"/>
      <c r="B514" s="453"/>
      <c r="C514" s="429"/>
      <c r="D514" s="399"/>
      <c r="E514" s="397"/>
    </row>
    <row r="515" spans="1:5">
      <c r="A515" s="401"/>
      <c r="B515" s="453"/>
      <c r="C515" s="429"/>
      <c r="D515" s="399"/>
      <c r="E515" s="397"/>
    </row>
    <row r="516" spans="1:5">
      <c r="A516" s="401"/>
      <c r="B516" s="453"/>
      <c r="C516" s="429"/>
      <c r="D516" s="399"/>
      <c r="E516" s="397"/>
    </row>
    <row r="517" spans="1:5">
      <c r="A517" s="401"/>
      <c r="B517" s="453"/>
      <c r="C517" s="429"/>
      <c r="D517" s="399"/>
      <c r="E517" s="397"/>
    </row>
    <row r="518" spans="1:5">
      <c r="A518" s="401"/>
      <c r="B518" s="453"/>
      <c r="C518" s="429"/>
      <c r="D518" s="399"/>
      <c r="E518" s="397"/>
    </row>
    <row r="519" spans="1:5">
      <c r="A519" s="401"/>
      <c r="B519" s="453"/>
      <c r="C519" s="429"/>
      <c r="D519" s="399"/>
      <c r="E519" s="397"/>
    </row>
    <row r="520" spans="1:5">
      <c r="A520" s="401"/>
      <c r="B520" s="453"/>
      <c r="C520" s="429"/>
      <c r="D520" s="399"/>
      <c r="E520" s="397"/>
    </row>
    <row r="521" spans="1:5">
      <c r="A521" s="401"/>
      <c r="B521" s="453"/>
      <c r="C521" s="429"/>
      <c r="D521" s="399"/>
      <c r="E521" s="397"/>
    </row>
    <row r="522" spans="1:5">
      <c r="A522" s="401"/>
      <c r="B522" s="453"/>
      <c r="C522" s="429"/>
      <c r="D522" s="399"/>
      <c r="E522" s="397"/>
    </row>
    <row r="523" spans="1:5">
      <c r="A523" s="401"/>
      <c r="B523" s="453"/>
      <c r="C523" s="429"/>
      <c r="D523" s="399"/>
      <c r="E523" s="397"/>
    </row>
    <row r="524" spans="1:5">
      <c r="A524" s="401"/>
      <c r="B524" s="453"/>
      <c r="C524" s="429"/>
      <c r="D524" s="399"/>
      <c r="E524" s="397"/>
    </row>
    <row r="525" spans="1:5">
      <c r="A525" s="401"/>
      <c r="B525" s="453"/>
      <c r="C525" s="429"/>
      <c r="D525" s="399"/>
      <c r="E525" s="397"/>
    </row>
    <row r="526" spans="1:5">
      <c r="A526" s="401"/>
      <c r="B526" s="453"/>
      <c r="C526" s="429"/>
      <c r="D526" s="399"/>
      <c r="E526" s="397"/>
    </row>
    <row r="527" spans="1:5">
      <c r="A527" s="401"/>
      <c r="B527" s="453"/>
      <c r="C527" s="429"/>
      <c r="D527" s="399"/>
      <c r="E527" s="397"/>
    </row>
    <row r="528" spans="1:5">
      <c r="A528" s="401"/>
      <c r="B528" s="453"/>
      <c r="C528" s="429"/>
      <c r="D528" s="399"/>
      <c r="E528" s="397"/>
    </row>
    <row r="529" spans="1:5">
      <c r="A529" s="401"/>
      <c r="B529" s="453"/>
      <c r="C529" s="429"/>
      <c r="D529" s="399"/>
      <c r="E529" s="397"/>
    </row>
    <row r="530" spans="1:5">
      <c r="A530" s="401"/>
      <c r="B530" s="453"/>
      <c r="C530" s="429"/>
      <c r="D530" s="399"/>
      <c r="E530" s="397"/>
    </row>
    <row r="531" spans="1:5">
      <c r="A531" s="401"/>
      <c r="B531" s="453"/>
      <c r="C531" s="429"/>
      <c r="D531" s="399"/>
      <c r="E531" s="397"/>
    </row>
    <row r="532" spans="1:5">
      <c r="A532" s="401"/>
      <c r="B532" s="453"/>
      <c r="C532" s="429"/>
      <c r="D532" s="399"/>
      <c r="E532" s="397"/>
    </row>
    <row r="533" spans="1:5">
      <c r="A533" s="401"/>
      <c r="B533" s="453"/>
      <c r="C533" s="429"/>
      <c r="D533" s="399"/>
      <c r="E533" s="397"/>
    </row>
    <row r="534" spans="1:5">
      <c r="A534" s="401"/>
      <c r="B534" s="453"/>
      <c r="C534" s="429"/>
      <c r="D534" s="399"/>
      <c r="E534" s="397"/>
    </row>
    <row r="535" spans="1:5">
      <c r="A535" s="401"/>
      <c r="B535" s="453"/>
      <c r="C535" s="429"/>
      <c r="D535" s="399"/>
      <c r="E535" s="397"/>
    </row>
    <row r="536" spans="1:5">
      <c r="A536" s="401"/>
      <c r="B536" s="453"/>
      <c r="C536" s="429"/>
      <c r="D536" s="399"/>
      <c r="E536" s="397"/>
    </row>
    <row r="537" spans="1:5">
      <c r="A537" s="401"/>
      <c r="B537" s="453"/>
      <c r="C537" s="429"/>
      <c r="D537" s="399"/>
      <c r="E537" s="397"/>
    </row>
    <row r="538" spans="1:5">
      <c r="A538" s="401"/>
      <c r="B538" s="453"/>
      <c r="C538" s="429"/>
      <c r="D538" s="399"/>
      <c r="E538" s="397"/>
    </row>
    <row r="539" spans="1:5">
      <c r="A539" s="401"/>
      <c r="B539" s="453"/>
      <c r="C539" s="429"/>
      <c r="D539" s="399"/>
      <c r="E539" s="397"/>
    </row>
    <row r="540" spans="1:5">
      <c r="A540" s="401"/>
      <c r="B540" s="453"/>
      <c r="C540" s="429"/>
      <c r="D540" s="399"/>
      <c r="E540" s="397"/>
    </row>
    <row r="541" spans="1:5">
      <c r="A541" s="401"/>
      <c r="B541" s="453"/>
      <c r="C541" s="429"/>
      <c r="D541" s="399"/>
      <c r="E541" s="397"/>
    </row>
    <row r="542" spans="1:5">
      <c r="A542" s="401"/>
      <c r="B542" s="453"/>
      <c r="C542" s="429"/>
      <c r="D542" s="399"/>
      <c r="E542" s="397"/>
    </row>
    <row r="543" spans="1:5">
      <c r="A543" s="401"/>
      <c r="B543" s="453"/>
      <c r="C543" s="429"/>
      <c r="D543" s="399"/>
      <c r="E543" s="397"/>
    </row>
    <row r="544" spans="1:5">
      <c r="A544" s="401"/>
      <c r="B544" s="453"/>
      <c r="C544" s="429"/>
      <c r="D544" s="399"/>
      <c r="E544" s="397"/>
    </row>
    <row r="545" spans="1:5">
      <c r="A545" s="401"/>
      <c r="B545" s="453"/>
      <c r="C545" s="429"/>
      <c r="D545" s="399"/>
      <c r="E545" s="397"/>
    </row>
    <row r="546" spans="1:5">
      <c r="A546" s="401"/>
      <c r="B546" s="453"/>
      <c r="C546" s="429"/>
      <c r="D546" s="399"/>
      <c r="E546" s="397"/>
    </row>
    <row r="547" spans="1:5">
      <c r="A547" s="401"/>
      <c r="B547" s="453"/>
      <c r="C547" s="429"/>
      <c r="D547" s="399"/>
      <c r="E547" s="397"/>
    </row>
    <row r="548" spans="1:5">
      <c r="A548" s="401"/>
      <c r="B548" s="453"/>
      <c r="C548" s="429"/>
      <c r="D548" s="399"/>
      <c r="E548" s="397"/>
    </row>
    <row r="549" spans="1:5">
      <c r="A549" s="401"/>
      <c r="B549" s="453"/>
      <c r="C549" s="429"/>
      <c r="D549" s="399"/>
      <c r="E549" s="397"/>
    </row>
    <row r="550" spans="1:5">
      <c r="A550" s="401"/>
      <c r="B550" s="453"/>
      <c r="C550" s="429"/>
      <c r="D550" s="399"/>
      <c r="E550" s="397"/>
    </row>
    <row r="551" spans="1:5">
      <c r="A551" s="401"/>
      <c r="B551" s="453"/>
      <c r="C551" s="429"/>
      <c r="D551" s="399"/>
      <c r="E551" s="397"/>
    </row>
    <row r="552" spans="1:5">
      <c r="A552" s="401"/>
      <c r="B552" s="453"/>
      <c r="C552" s="429"/>
      <c r="D552" s="399"/>
      <c r="E552" s="397"/>
    </row>
    <row r="553" spans="1:5">
      <c r="A553" s="401"/>
      <c r="B553" s="453"/>
      <c r="C553" s="429"/>
      <c r="D553" s="399"/>
      <c r="E553" s="397"/>
    </row>
    <row r="554" spans="1:5">
      <c r="A554" s="401"/>
      <c r="B554" s="453"/>
      <c r="C554" s="429"/>
      <c r="D554" s="399"/>
      <c r="E554" s="397"/>
    </row>
    <row r="555" spans="1:5">
      <c r="A555" s="401"/>
      <c r="B555" s="453"/>
      <c r="C555" s="429"/>
      <c r="D555" s="399"/>
      <c r="E555" s="397"/>
    </row>
    <row r="556" spans="1:5">
      <c r="A556" s="401"/>
      <c r="B556" s="453"/>
      <c r="C556" s="429"/>
      <c r="D556" s="399"/>
      <c r="E556" s="397"/>
    </row>
    <row r="557" spans="1:5">
      <c r="A557" s="401"/>
      <c r="B557" s="453"/>
      <c r="C557" s="429"/>
      <c r="D557" s="399"/>
      <c r="E557" s="397"/>
    </row>
    <row r="558" spans="1:5">
      <c r="A558" s="401"/>
      <c r="B558" s="453"/>
      <c r="C558" s="429"/>
      <c r="D558" s="399"/>
      <c r="E558" s="397"/>
    </row>
    <row r="559" spans="1:5">
      <c r="A559" s="401"/>
      <c r="B559" s="453"/>
      <c r="C559" s="429"/>
      <c r="D559" s="399"/>
      <c r="E559" s="397"/>
    </row>
    <row r="560" spans="1:5">
      <c r="A560" s="401"/>
      <c r="B560" s="453"/>
      <c r="C560" s="429"/>
      <c r="D560" s="399"/>
      <c r="E560" s="397"/>
    </row>
    <row r="561" spans="1:5">
      <c r="A561" s="401"/>
      <c r="B561" s="453"/>
      <c r="C561" s="429"/>
      <c r="D561" s="399"/>
      <c r="E561" s="397"/>
    </row>
    <row r="562" spans="1:5">
      <c r="A562" s="401"/>
      <c r="B562" s="453"/>
      <c r="C562" s="429"/>
      <c r="D562" s="399"/>
      <c r="E562" s="397"/>
    </row>
    <row r="563" spans="1:5">
      <c r="A563" s="401"/>
      <c r="B563" s="453"/>
      <c r="C563" s="429"/>
      <c r="D563" s="399"/>
      <c r="E563" s="397"/>
    </row>
    <row r="564" spans="1:5">
      <c r="A564" s="401"/>
      <c r="B564" s="453"/>
      <c r="C564" s="429"/>
      <c r="D564" s="399"/>
      <c r="E564" s="397"/>
    </row>
    <row r="565" spans="1:5">
      <c r="A565" s="401"/>
      <c r="B565" s="453"/>
      <c r="C565" s="429"/>
      <c r="D565" s="399"/>
      <c r="E565" s="397"/>
    </row>
    <row r="566" spans="1:5">
      <c r="A566" s="401"/>
      <c r="B566" s="453"/>
      <c r="C566" s="429"/>
      <c r="D566" s="399"/>
      <c r="E566" s="397"/>
    </row>
    <row r="567" spans="1:5">
      <c r="A567" s="401"/>
      <c r="B567" s="453"/>
      <c r="C567" s="429"/>
      <c r="D567" s="399"/>
      <c r="E567" s="397"/>
    </row>
    <row r="568" spans="1:5">
      <c r="A568" s="401"/>
      <c r="B568" s="453"/>
      <c r="C568" s="429"/>
      <c r="D568" s="399"/>
      <c r="E568" s="397"/>
    </row>
    <row r="569" spans="1:5">
      <c r="A569" s="401"/>
      <c r="B569" s="453"/>
      <c r="C569" s="429"/>
      <c r="D569" s="399"/>
      <c r="E569" s="397"/>
    </row>
    <row r="570" spans="1:5">
      <c r="A570" s="401"/>
      <c r="B570" s="453"/>
      <c r="C570" s="429"/>
      <c r="D570" s="399"/>
      <c r="E570" s="397"/>
    </row>
    <row r="571" spans="1:5">
      <c r="A571" s="401"/>
      <c r="B571" s="453"/>
      <c r="C571" s="429"/>
      <c r="D571" s="399"/>
      <c r="E571" s="397"/>
    </row>
    <row r="572" spans="1:5">
      <c r="A572" s="401"/>
      <c r="B572" s="453"/>
      <c r="C572" s="429"/>
      <c r="D572" s="399"/>
      <c r="E572" s="397"/>
    </row>
    <row r="573" spans="1:5">
      <c r="A573" s="401"/>
      <c r="B573" s="453"/>
      <c r="C573" s="429"/>
      <c r="D573" s="399"/>
      <c r="E573" s="397"/>
    </row>
    <row r="574" spans="1:5">
      <c r="A574" s="401"/>
      <c r="B574" s="453"/>
      <c r="C574" s="429"/>
      <c r="D574" s="399"/>
      <c r="E574" s="397"/>
    </row>
    <row r="575" spans="1:5">
      <c r="A575" s="401"/>
      <c r="B575" s="453"/>
      <c r="C575" s="429"/>
      <c r="D575" s="399"/>
      <c r="E575" s="397"/>
    </row>
    <row r="576" spans="1:5">
      <c r="A576" s="401"/>
      <c r="B576" s="453"/>
      <c r="C576" s="429"/>
      <c r="D576" s="399"/>
      <c r="E576" s="397"/>
    </row>
    <row r="577" spans="1:5">
      <c r="A577" s="401"/>
      <c r="B577" s="453"/>
      <c r="C577" s="429"/>
      <c r="D577" s="399"/>
      <c r="E577" s="397"/>
    </row>
    <row r="578" spans="1:5">
      <c r="A578" s="401"/>
      <c r="B578" s="453"/>
      <c r="C578" s="429"/>
      <c r="D578" s="399"/>
      <c r="E578" s="397"/>
    </row>
    <row r="579" spans="1:5">
      <c r="A579" s="401"/>
      <c r="B579" s="453"/>
      <c r="C579" s="429"/>
      <c r="D579" s="399"/>
      <c r="E579" s="397"/>
    </row>
    <row r="580" spans="1:5">
      <c r="A580" s="401"/>
      <c r="B580" s="453"/>
      <c r="C580" s="429"/>
      <c r="D580" s="399"/>
      <c r="E580" s="397"/>
    </row>
    <row r="581" spans="1:5">
      <c r="A581" s="401"/>
      <c r="B581" s="453"/>
      <c r="C581" s="429"/>
      <c r="D581" s="399"/>
      <c r="E581" s="397"/>
    </row>
    <row r="582" spans="1:5">
      <c r="A582" s="401"/>
      <c r="B582" s="453"/>
      <c r="C582" s="429"/>
      <c r="D582" s="399"/>
      <c r="E582" s="397"/>
    </row>
    <row r="583" spans="1:5">
      <c r="A583" s="401"/>
      <c r="B583" s="453"/>
      <c r="C583" s="429"/>
      <c r="D583" s="399"/>
      <c r="E583" s="397"/>
    </row>
    <row r="584" spans="1:5">
      <c r="A584" s="401"/>
      <c r="B584" s="453"/>
      <c r="C584" s="429"/>
      <c r="D584" s="399"/>
      <c r="E584" s="397"/>
    </row>
    <row r="585" spans="1:5">
      <c r="A585" s="401"/>
      <c r="B585" s="453"/>
      <c r="C585" s="429"/>
      <c r="D585" s="399"/>
      <c r="E585" s="397"/>
    </row>
    <row r="586" spans="1:5">
      <c r="A586" s="401"/>
      <c r="B586" s="453"/>
      <c r="C586" s="429"/>
      <c r="D586" s="399"/>
      <c r="E586" s="397"/>
    </row>
    <row r="587" spans="1:5">
      <c r="A587" s="401"/>
      <c r="B587" s="453"/>
      <c r="C587" s="429"/>
      <c r="D587" s="399"/>
      <c r="E587" s="397"/>
    </row>
    <row r="588" spans="1:5">
      <c r="A588" s="401"/>
      <c r="B588" s="453"/>
      <c r="C588" s="429"/>
      <c r="D588" s="399"/>
      <c r="E588" s="397"/>
    </row>
    <row r="589" spans="1:5">
      <c r="A589" s="401"/>
      <c r="B589" s="453"/>
      <c r="C589" s="429"/>
      <c r="D589" s="399"/>
      <c r="E589" s="397"/>
    </row>
    <row r="590" spans="1:5">
      <c r="A590" s="401"/>
      <c r="B590" s="453"/>
      <c r="C590" s="429"/>
      <c r="D590" s="399"/>
      <c r="E590" s="397"/>
    </row>
    <row r="591" spans="1:5">
      <c r="A591" s="401"/>
      <c r="B591" s="453"/>
      <c r="C591" s="429"/>
      <c r="D591" s="399"/>
      <c r="E591" s="397"/>
    </row>
    <row r="592" spans="1:5">
      <c r="A592" s="401"/>
      <c r="B592" s="453"/>
      <c r="C592" s="429"/>
      <c r="D592" s="399"/>
      <c r="E592" s="397"/>
    </row>
    <row r="593" spans="1:5">
      <c r="A593" s="401"/>
      <c r="B593" s="453"/>
      <c r="C593" s="429"/>
      <c r="D593" s="399"/>
      <c r="E593" s="397"/>
    </row>
    <row r="594" spans="1:5">
      <c r="A594" s="401"/>
      <c r="B594" s="453"/>
      <c r="C594" s="429"/>
      <c r="D594" s="399"/>
      <c r="E594" s="397"/>
    </row>
    <row r="595" spans="1:5">
      <c r="A595" s="401"/>
      <c r="B595" s="453"/>
      <c r="C595" s="429"/>
      <c r="D595" s="399"/>
      <c r="E595" s="397"/>
    </row>
    <row r="596" spans="1:5">
      <c r="A596" s="401"/>
      <c r="B596" s="453"/>
      <c r="C596" s="429"/>
      <c r="D596" s="399"/>
      <c r="E596" s="397"/>
    </row>
    <row r="597" spans="1:5">
      <c r="A597" s="401"/>
      <c r="B597" s="453"/>
      <c r="C597" s="429"/>
      <c r="D597" s="399"/>
      <c r="E597" s="397"/>
    </row>
    <row r="598" spans="1:5">
      <c r="A598" s="401"/>
      <c r="B598" s="453"/>
      <c r="C598" s="429"/>
      <c r="D598" s="399"/>
      <c r="E598" s="397"/>
    </row>
    <row r="599" spans="1:5">
      <c r="A599" s="401"/>
      <c r="B599" s="453"/>
      <c r="C599" s="429"/>
      <c r="D599" s="399"/>
      <c r="E599" s="397"/>
    </row>
    <row r="600" spans="1:5">
      <c r="A600" s="401"/>
      <c r="B600" s="453"/>
      <c r="C600" s="429"/>
      <c r="D600" s="399"/>
      <c r="E600" s="397"/>
    </row>
    <row r="601" spans="1:5">
      <c r="A601" s="401"/>
      <c r="B601" s="453"/>
      <c r="C601" s="429"/>
      <c r="D601" s="399"/>
      <c r="E601" s="397"/>
    </row>
    <row r="602" spans="1:5">
      <c r="A602" s="401"/>
      <c r="B602" s="453"/>
      <c r="C602" s="429"/>
      <c r="D602" s="399"/>
      <c r="E602" s="397"/>
    </row>
    <row r="603" spans="1:5">
      <c r="A603" s="401"/>
      <c r="B603" s="453"/>
      <c r="C603" s="429"/>
      <c r="D603" s="399"/>
      <c r="E603" s="397"/>
    </row>
    <row r="604" spans="1:5">
      <c r="A604" s="401"/>
      <c r="B604" s="453"/>
      <c r="C604" s="429"/>
      <c r="D604" s="399"/>
      <c r="E604" s="397"/>
    </row>
    <row r="605" spans="1:5">
      <c r="A605" s="401"/>
      <c r="B605" s="453"/>
      <c r="C605" s="429"/>
      <c r="D605" s="399"/>
      <c r="E605" s="397"/>
    </row>
    <row r="606" spans="1:5">
      <c r="A606" s="401"/>
      <c r="B606" s="453"/>
      <c r="C606" s="429"/>
      <c r="D606" s="399"/>
      <c r="E606" s="397"/>
    </row>
    <row r="607" spans="1:5">
      <c r="A607" s="401"/>
      <c r="B607" s="453"/>
      <c r="C607" s="429"/>
      <c r="D607" s="399"/>
      <c r="E607" s="397"/>
    </row>
    <row r="608" spans="1:5">
      <c r="A608" s="401"/>
      <c r="B608" s="453"/>
      <c r="C608" s="429"/>
      <c r="D608" s="399"/>
      <c r="E608" s="397"/>
    </row>
    <row r="609" spans="1:5">
      <c r="A609" s="401"/>
      <c r="B609" s="453"/>
      <c r="C609" s="429"/>
      <c r="D609" s="399"/>
      <c r="E609" s="397"/>
    </row>
    <row r="610" spans="1:5">
      <c r="A610" s="401"/>
      <c r="B610" s="453"/>
      <c r="C610" s="429"/>
      <c r="D610" s="399"/>
      <c r="E610" s="397"/>
    </row>
    <row r="611" spans="1:5">
      <c r="A611" s="401"/>
      <c r="B611" s="453"/>
      <c r="C611" s="429"/>
      <c r="D611" s="399"/>
      <c r="E611" s="397"/>
    </row>
    <row r="612" spans="1:5">
      <c r="A612" s="401"/>
      <c r="B612" s="453"/>
      <c r="C612" s="429"/>
      <c r="D612" s="399"/>
      <c r="E612" s="397"/>
    </row>
    <row r="613" spans="1:5">
      <c r="A613" s="401"/>
      <c r="B613" s="453"/>
      <c r="C613" s="429"/>
      <c r="D613" s="399"/>
      <c r="E613" s="397"/>
    </row>
    <row r="614" spans="1:5">
      <c r="A614" s="401"/>
      <c r="B614" s="453"/>
      <c r="C614" s="429"/>
      <c r="D614" s="399"/>
      <c r="E614" s="397"/>
    </row>
    <row r="615" spans="1:5">
      <c r="A615" s="401"/>
      <c r="B615" s="453"/>
      <c r="C615" s="429"/>
      <c r="D615" s="399"/>
      <c r="E615" s="397"/>
    </row>
    <row r="616" spans="1:5">
      <c r="A616" s="401"/>
      <c r="B616" s="453"/>
      <c r="C616" s="429"/>
      <c r="D616" s="399"/>
      <c r="E616" s="397"/>
    </row>
    <row r="617" spans="1:5">
      <c r="A617" s="401"/>
      <c r="B617" s="453"/>
      <c r="C617" s="429"/>
      <c r="D617" s="399"/>
      <c r="E617" s="397"/>
    </row>
    <row r="618" spans="1:5">
      <c r="A618" s="401"/>
      <c r="B618" s="453"/>
      <c r="C618" s="429"/>
      <c r="D618" s="399"/>
      <c r="E618" s="397"/>
    </row>
    <row r="619" spans="1:5">
      <c r="A619" s="401"/>
      <c r="B619" s="453"/>
      <c r="C619" s="429"/>
      <c r="D619" s="399"/>
      <c r="E619" s="397"/>
    </row>
    <row r="620" spans="1:5">
      <c r="A620" s="401"/>
      <c r="B620" s="453"/>
      <c r="C620" s="429"/>
      <c r="D620" s="399"/>
      <c r="E620" s="397"/>
    </row>
    <row r="621" spans="1:5">
      <c r="A621" s="401"/>
      <c r="B621" s="453"/>
      <c r="C621" s="429"/>
      <c r="D621" s="399"/>
      <c r="E621" s="397"/>
    </row>
    <row r="622" spans="1:5">
      <c r="A622" s="401"/>
      <c r="B622" s="453"/>
      <c r="C622" s="429"/>
      <c r="D622" s="399"/>
      <c r="E622" s="397"/>
    </row>
    <row r="623" spans="1:5">
      <c r="A623" s="401"/>
      <c r="B623" s="453"/>
      <c r="C623" s="429"/>
      <c r="D623" s="399"/>
      <c r="E623" s="397"/>
    </row>
    <row r="624" spans="1:5">
      <c r="A624" s="401"/>
      <c r="B624" s="453"/>
      <c r="C624" s="429"/>
      <c r="D624" s="399"/>
      <c r="E624" s="397"/>
    </row>
    <row r="625" spans="1:5">
      <c r="A625" s="401"/>
      <c r="B625" s="453"/>
      <c r="C625" s="429"/>
      <c r="D625" s="399"/>
      <c r="E625" s="397"/>
    </row>
    <row r="626" spans="1:5">
      <c r="A626" s="401"/>
      <c r="B626" s="453"/>
      <c r="C626" s="429"/>
      <c r="D626" s="399"/>
      <c r="E626" s="397"/>
    </row>
    <row r="627" spans="1:5">
      <c r="A627" s="401"/>
      <c r="B627" s="453"/>
      <c r="C627" s="429"/>
      <c r="D627" s="399"/>
      <c r="E627" s="397"/>
    </row>
    <row r="628" spans="1:5">
      <c r="A628" s="401"/>
      <c r="B628" s="453"/>
      <c r="C628" s="429"/>
      <c r="D628" s="399"/>
      <c r="E628" s="397"/>
    </row>
    <row r="629" spans="1:5">
      <c r="A629" s="401"/>
      <c r="B629" s="453"/>
      <c r="C629" s="429"/>
      <c r="D629" s="399"/>
      <c r="E629" s="397"/>
    </row>
    <row r="630" spans="1:5">
      <c r="A630" s="401"/>
      <c r="B630" s="453"/>
      <c r="C630" s="429"/>
      <c r="D630" s="399"/>
      <c r="E630" s="397"/>
    </row>
    <row r="631" spans="1:5">
      <c r="A631" s="401"/>
      <c r="B631" s="453"/>
      <c r="C631" s="429"/>
      <c r="D631" s="399"/>
      <c r="E631" s="397"/>
    </row>
    <row r="632" spans="1:5">
      <c r="A632" s="401"/>
      <c r="B632" s="453"/>
      <c r="C632" s="429"/>
      <c r="D632" s="399"/>
      <c r="E632" s="397"/>
    </row>
    <row r="633" spans="1:5">
      <c r="A633" s="401"/>
      <c r="B633" s="453"/>
      <c r="C633" s="429"/>
      <c r="D633" s="399"/>
      <c r="E633" s="397"/>
    </row>
    <row r="634" spans="1:5">
      <c r="A634" s="401"/>
      <c r="B634" s="453"/>
      <c r="C634" s="429"/>
      <c r="D634" s="399"/>
      <c r="E634" s="397"/>
    </row>
    <row r="635" spans="1:5">
      <c r="A635" s="401"/>
      <c r="B635" s="453"/>
      <c r="C635" s="429"/>
      <c r="D635" s="399"/>
      <c r="E635" s="397"/>
    </row>
    <row r="636" spans="1:5">
      <c r="A636" s="401"/>
      <c r="B636" s="453"/>
      <c r="C636" s="429"/>
      <c r="D636" s="399"/>
      <c r="E636" s="397"/>
    </row>
    <row r="637" spans="1:5">
      <c r="A637" s="401"/>
      <c r="B637" s="453"/>
      <c r="C637" s="429"/>
      <c r="D637" s="399"/>
      <c r="E637" s="397"/>
    </row>
    <row r="638" spans="1:5">
      <c r="A638" s="401"/>
      <c r="B638" s="453"/>
      <c r="C638" s="429"/>
      <c r="D638" s="399"/>
      <c r="E638" s="397"/>
    </row>
    <row r="639" spans="1:5">
      <c r="A639" s="401"/>
      <c r="B639" s="453"/>
      <c r="C639" s="429"/>
      <c r="D639" s="399"/>
      <c r="E639" s="397"/>
    </row>
    <row r="640" spans="1:5">
      <c r="A640" s="401"/>
      <c r="B640" s="453"/>
      <c r="C640" s="429"/>
      <c r="D640" s="399"/>
      <c r="E640" s="397"/>
    </row>
    <row r="641" spans="1:5">
      <c r="A641" s="401"/>
      <c r="B641" s="453"/>
      <c r="C641" s="429"/>
      <c r="D641" s="399"/>
      <c r="E641" s="397"/>
    </row>
    <row r="642" spans="1:5">
      <c r="A642" s="401"/>
      <c r="B642" s="453"/>
      <c r="C642" s="429"/>
      <c r="D642" s="399"/>
      <c r="E642" s="397"/>
    </row>
    <row r="643" spans="1:5">
      <c r="A643" s="401"/>
      <c r="B643" s="453"/>
      <c r="C643" s="429"/>
      <c r="D643" s="399"/>
      <c r="E643" s="397"/>
    </row>
    <row r="644" spans="1:5">
      <c r="A644" s="401"/>
      <c r="B644" s="453"/>
      <c r="C644" s="429"/>
      <c r="D644" s="399"/>
      <c r="E644" s="397"/>
    </row>
    <row r="645" spans="1:5">
      <c r="A645" s="401"/>
      <c r="B645" s="453"/>
      <c r="C645" s="429"/>
      <c r="D645" s="399"/>
      <c r="E645" s="397"/>
    </row>
    <row r="646" spans="1:5">
      <c r="A646" s="401"/>
      <c r="B646" s="453"/>
      <c r="C646" s="429"/>
      <c r="D646" s="399"/>
      <c r="E646" s="397"/>
    </row>
    <row r="647" spans="1:5">
      <c r="A647" s="401"/>
      <c r="B647" s="453"/>
      <c r="C647" s="429"/>
      <c r="D647" s="399"/>
      <c r="E647" s="397"/>
    </row>
    <row r="648" spans="1:5">
      <c r="A648" s="401"/>
      <c r="B648" s="453"/>
      <c r="C648" s="429"/>
      <c r="D648" s="399"/>
      <c r="E648" s="397"/>
    </row>
    <row r="649" spans="1:5">
      <c r="A649" s="401"/>
      <c r="B649" s="453"/>
      <c r="C649" s="429"/>
      <c r="D649" s="399"/>
      <c r="E649" s="397"/>
    </row>
    <row r="650" spans="1:5">
      <c r="A650" s="401"/>
      <c r="B650" s="453"/>
      <c r="C650" s="429"/>
      <c r="D650" s="399"/>
      <c r="E650" s="397"/>
    </row>
    <row r="651" spans="1:5">
      <c r="A651" s="401"/>
      <c r="B651" s="453"/>
      <c r="C651" s="429"/>
      <c r="D651" s="399"/>
      <c r="E651" s="397"/>
    </row>
    <row r="652" spans="1:5">
      <c r="A652" s="401"/>
      <c r="B652" s="453"/>
      <c r="C652" s="429"/>
      <c r="D652" s="399"/>
      <c r="E652" s="397"/>
    </row>
    <row r="653" spans="1:5">
      <c r="A653" s="401"/>
      <c r="B653" s="453"/>
      <c r="C653" s="429"/>
      <c r="D653" s="399"/>
      <c r="E653" s="397"/>
    </row>
    <row r="654" spans="1:5">
      <c r="A654" s="401"/>
      <c r="B654" s="453"/>
      <c r="C654" s="429"/>
      <c r="D654" s="399"/>
      <c r="E654" s="397"/>
    </row>
    <row r="655" spans="1:5">
      <c r="A655" s="401"/>
      <c r="B655" s="453"/>
      <c r="C655" s="429"/>
      <c r="D655" s="399"/>
      <c r="E655" s="397"/>
    </row>
    <row r="656" spans="1:5">
      <c r="A656" s="401"/>
      <c r="B656" s="453"/>
      <c r="C656" s="429"/>
      <c r="D656" s="399"/>
      <c r="E656" s="397"/>
    </row>
    <row r="657" spans="1:5">
      <c r="A657" s="401"/>
      <c r="B657" s="453"/>
      <c r="C657" s="429"/>
      <c r="D657" s="399"/>
      <c r="E657" s="397"/>
    </row>
    <row r="658" spans="1:5">
      <c r="A658" s="401"/>
      <c r="B658" s="453"/>
      <c r="C658" s="429"/>
      <c r="D658" s="399"/>
      <c r="E658" s="397"/>
    </row>
    <row r="659" spans="1:5">
      <c r="A659" s="401"/>
      <c r="B659" s="453"/>
      <c r="C659" s="429"/>
      <c r="D659" s="399"/>
      <c r="E659" s="397"/>
    </row>
    <row r="660" spans="1:5">
      <c r="A660" s="401"/>
      <c r="B660" s="453"/>
      <c r="C660" s="429"/>
      <c r="D660" s="399"/>
      <c r="E660" s="397"/>
    </row>
    <row r="661" spans="1:5">
      <c r="A661" s="401"/>
      <c r="B661" s="453"/>
      <c r="C661" s="429"/>
      <c r="D661" s="399"/>
      <c r="E661" s="397"/>
    </row>
    <row r="662" spans="1:5">
      <c r="A662" s="401"/>
      <c r="B662" s="453"/>
      <c r="C662" s="429"/>
      <c r="D662" s="399"/>
      <c r="E662" s="397"/>
    </row>
    <row r="663" spans="1:5">
      <c r="A663" s="401"/>
      <c r="B663" s="453"/>
      <c r="C663" s="429"/>
      <c r="D663" s="399"/>
      <c r="E663" s="397"/>
    </row>
    <row r="664" spans="1:5">
      <c r="A664" s="401"/>
      <c r="B664" s="453"/>
      <c r="C664" s="429"/>
      <c r="D664" s="399"/>
      <c r="E664" s="397"/>
    </row>
    <row r="665" spans="1:5">
      <c r="A665" s="401"/>
      <c r="B665" s="453"/>
      <c r="C665" s="429"/>
      <c r="D665" s="399"/>
      <c r="E665" s="397"/>
    </row>
    <row r="666" spans="1:5">
      <c r="A666" s="401"/>
      <c r="B666" s="453"/>
      <c r="C666" s="429"/>
      <c r="D666" s="399"/>
      <c r="E666" s="397"/>
    </row>
    <row r="667" spans="1:5">
      <c r="A667" s="401"/>
      <c r="B667" s="453"/>
      <c r="C667" s="429"/>
      <c r="D667" s="399"/>
      <c r="E667" s="397"/>
    </row>
    <row r="668" spans="1:5">
      <c r="A668" s="401"/>
      <c r="B668" s="453"/>
      <c r="C668" s="429"/>
      <c r="D668" s="399"/>
      <c r="E668" s="397"/>
    </row>
    <row r="669" spans="1:5">
      <c r="A669" s="401"/>
      <c r="B669" s="453"/>
      <c r="C669" s="429"/>
      <c r="D669" s="399"/>
      <c r="E669" s="397"/>
    </row>
    <row r="670" spans="1:5">
      <c r="A670" s="401"/>
      <c r="B670" s="453"/>
      <c r="C670" s="429"/>
      <c r="D670" s="399"/>
      <c r="E670" s="397"/>
    </row>
    <row r="671" spans="1:5">
      <c r="A671" s="401"/>
      <c r="B671" s="453"/>
      <c r="C671" s="429"/>
      <c r="D671" s="399"/>
      <c r="E671" s="397"/>
    </row>
    <row r="672" spans="1:5">
      <c r="A672" s="401"/>
      <c r="B672" s="453"/>
      <c r="C672" s="429"/>
      <c r="D672" s="399"/>
      <c r="E672" s="397"/>
    </row>
    <row r="673" spans="1:5">
      <c r="A673" s="401"/>
      <c r="B673" s="453"/>
      <c r="C673" s="429"/>
      <c r="D673" s="399"/>
      <c r="E673" s="397"/>
    </row>
    <row r="674" spans="1:5">
      <c r="A674" s="401"/>
      <c r="B674" s="453"/>
      <c r="C674" s="429"/>
      <c r="D674" s="399"/>
      <c r="E674" s="397"/>
    </row>
    <row r="675" spans="1:5">
      <c r="A675" s="401"/>
      <c r="B675" s="453"/>
      <c r="C675" s="429"/>
      <c r="D675" s="399"/>
      <c r="E675" s="397"/>
    </row>
    <row r="676" spans="1:5">
      <c r="A676" s="401"/>
      <c r="B676" s="453"/>
      <c r="C676" s="429"/>
      <c r="D676" s="399"/>
      <c r="E676" s="397"/>
    </row>
    <row r="677" spans="1:5">
      <c r="A677" s="401"/>
      <c r="B677" s="453"/>
      <c r="C677" s="429"/>
      <c r="D677" s="399"/>
      <c r="E677" s="397"/>
    </row>
    <row r="678" spans="1:5">
      <c r="A678" s="401"/>
      <c r="B678" s="453"/>
      <c r="C678" s="429"/>
      <c r="D678" s="399"/>
      <c r="E678" s="397"/>
    </row>
    <row r="679" spans="1:5">
      <c r="A679" s="401"/>
      <c r="B679" s="453"/>
      <c r="C679" s="429"/>
      <c r="D679" s="399"/>
      <c r="E679" s="397"/>
    </row>
    <row r="680" spans="1:5">
      <c r="A680" s="401"/>
      <c r="B680" s="453"/>
      <c r="C680" s="429"/>
      <c r="D680" s="399"/>
      <c r="E680" s="397"/>
    </row>
    <row r="681" spans="1:5">
      <c r="A681" s="401"/>
      <c r="B681" s="453"/>
      <c r="C681" s="429"/>
      <c r="D681" s="399"/>
      <c r="E681" s="397"/>
    </row>
    <row r="682" spans="1:5">
      <c r="A682" s="401"/>
      <c r="B682" s="453"/>
      <c r="C682" s="429"/>
      <c r="D682" s="399"/>
      <c r="E682" s="397"/>
    </row>
    <row r="683" spans="1:5">
      <c r="A683" s="401"/>
      <c r="B683" s="453"/>
      <c r="C683" s="429"/>
      <c r="D683" s="399"/>
      <c r="E683" s="397"/>
    </row>
    <row r="684" spans="1:5">
      <c r="A684" s="401"/>
      <c r="B684" s="453"/>
      <c r="C684" s="429"/>
      <c r="D684" s="399"/>
      <c r="E684" s="397"/>
    </row>
    <row r="685" spans="1:5">
      <c r="A685" s="401"/>
      <c r="B685" s="453"/>
      <c r="C685" s="429"/>
      <c r="D685" s="399"/>
      <c r="E685" s="397"/>
    </row>
    <row r="686" spans="1:5">
      <c r="A686" s="401"/>
      <c r="B686" s="453"/>
      <c r="C686" s="429"/>
      <c r="D686" s="399"/>
      <c r="E686" s="397"/>
    </row>
    <row r="687" spans="1:5">
      <c r="A687" s="401"/>
      <c r="B687" s="453"/>
      <c r="C687" s="429"/>
      <c r="D687" s="399"/>
      <c r="E687" s="397"/>
    </row>
    <row r="688" spans="1:5">
      <c r="A688" s="401"/>
      <c r="B688" s="453"/>
      <c r="C688" s="429"/>
      <c r="D688" s="399"/>
      <c r="E688" s="397"/>
    </row>
    <row r="689" spans="1:5">
      <c r="A689" s="401"/>
      <c r="B689" s="453"/>
      <c r="C689" s="429"/>
      <c r="D689" s="399"/>
      <c r="E689" s="397"/>
    </row>
    <row r="690" spans="1:5">
      <c r="A690" s="401"/>
      <c r="B690" s="453"/>
      <c r="C690" s="429"/>
      <c r="D690" s="399"/>
      <c r="E690" s="397"/>
    </row>
    <row r="691" spans="1:5">
      <c r="A691" s="401"/>
      <c r="B691" s="453"/>
      <c r="C691" s="429"/>
      <c r="D691" s="399"/>
      <c r="E691" s="397"/>
    </row>
    <row r="692" spans="1:5">
      <c r="A692" s="401"/>
      <c r="B692" s="453"/>
      <c r="C692" s="429"/>
      <c r="D692" s="399"/>
      <c r="E692" s="397"/>
    </row>
    <row r="693" spans="1:5">
      <c r="A693" s="401"/>
      <c r="B693" s="453"/>
      <c r="C693" s="429"/>
      <c r="D693" s="399"/>
      <c r="E693" s="397"/>
    </row>
    <row r="694" spans="1:5">
      <c r="A694" s="401"/>
      <c r="B694" s="453"/>
      <c r="C694" s="429"/>
      <c r="D694" s="399"/>
      <c r="E694" s="397"/>
    </row>
    <row r="695" spans="1:5">
      <c r="A695" s="401"/>
      <c r="B695" s="453"/>
      <c r="C695" s="429"/>
      <c r="D695" s="399"/>
      <c r="E695" s="397"/>
    </row>
    <row r="696" spans="1:5">
      <c r="A696" s="401"/>
      <c r="B696" s="453"/>
      <c r="C696" s="429"/>
      <c r="D696" s="399"/>
      <c r="E696" s="397"/>
    </row>
    <row r="697" spans="1:5">
      <c r="A697" s="401"/>
      <c r="B697" s="453"/>
      <c r="C697" s="429"/>
      <c r="D697" s="399"/>
      <c r="E697" s="397"/>
    </row>
    <row r="698" spans="1:5">
      <c r="A698" s="401"/>
      <c r="B698" s="453"/>
      <c r="C698" s="429"/>
      <c r="D698" s="399"/>
      <c r="E698" s="397"/>
    </row>
    <row r="699" spans="1:5">
      <c r="A699" s="401"/>
      <c r="B699" s="453"/>
      <c r="C699" s="429"/>
      <c r="D699" s="399"/>
      <c r="E699" s="397"/>
    </row>
    <row r="700" spans="1:5">
      <c r="A700" s="401"/>
      <c r="B700" s="453"/>
      <c r="C700" s="429"/>
      <c r="D700" s="399"/>
      <c r="E700" s="397"/>
    </row>
    <row r="701" spans="1:5">
      <c r="A701" s="401"/>
      <c r="B701" s="453"/>
      <c r="C701" s="429"/>
      <c r="D701" s="399"/>
      <c r="E701" s="397"/>
    </row>
    <row r="702" spans="1:5">
      <c r="A702" s="401"/>
      <c r="B702" s="453"/>
      <c r="C702" s="429"/>
      <c r="D702" s="399"/>
      <c r="E702" s="397"/>
    </row>
    <row r="703" spans="1:5">
      <c r="A703" s="401"/>
      <c r="B703" s="453"/>
      <c r="C703" s="429"/>
      <c r="D703" s="399"/>
      <c r="E703" s="397"/>
    </row>
    <row r="704" spans="1:5">
      <c r="A704" s="401"/>
      <c r="B704" s="453"/>
      <c r="C704" s="429"/>
      <c r="D704" s="399"/>
      <c r="E704" s="397"/>
    </row>
    <row r="705" spans="1:5">
      <c r="A705" s="401"/>
      <c r="B705" s="453"/>
      <c r="C705" s="429"/>
      <c r="D705" s="399"/>
      <c r="E705" s="397"/>
    </row>
    <row r="706" spans="1:5">
      <c r="A706" s="401"/>
      <c r="B706" s="453"/>
      <c r="C706" s="429"/>
      <c r="D706" s="399"/>
      <c r="E706" s="397"/>
    </row>
    <row r="707" spans="1:5">
      <c r="A707" s="401"/>
      <c r="B707" s="453"/>
      <c r="C707" s="429"/>
      <c r="D707" s="399"/>
      <c r="E707" s="397"/>
    </row>
    <row r="708" spans="1:5">
      <c r="A708" s="401"/>
      <c r="B708" s="453"/>
      <c r="C708" s="429"/>
      <c r="D708" s="399"/>
      <c r="E708" s="397"/>
    </row>
    <row r="709" spans="1:5">
      <c r="A709" s="401"/>
      <c r="B709" s="453"/>
      <c r="C709" s="429"/>
      <c r="D709" s="399"/>
      <c r="E709" s="397"/>
    </row>
    <row r="710" spans="1:5">
      <c r="A710" s="401"/>
      <c r="B710" s="453"/>
      <c r="C710" s="429"/>
      <c r="D710" s="399"/>
      <c r="E710" s="397"/>
    </row>
    <row r="711" spans="1:5">
      <c r="A711" s="401"/>
      <c r="B711" s="453"/>
      <c r="C711" s="429"/>
      <c r="D711" s="399"/>
      <c r="E711" s="397"/>
    </row>
    <row r="712" spans="1:5">
      <c r="A712" s="401"/>
      <c r="B712" s="453"/>
      <c r="C712" s="429"/>
      <c r="D712" s="399"/>
      <c r="E712" s="397"/>
    </row>
    <row r="713" spans="1:5">
      <c r="A713" s="401"/>
      <c r="B713" s="453"/>
      <c r="C713" s="429"/>
      <c r="D713" s="399"/>
      <c r="E713" s="397"/>
    </row>
    <row r="714" spans="1:5">
      <c r="A714" s="401"/>
      <c r="B714" s="453"/>
      <c r="C714" s="429"/>
      <c r="D714" s="399"/>
      <c r="E714" s="397"/>
    </row>
    <row r="715" spans="1:5">
      <c r="A715" s="401"/>
      <c r="B715" s="453"/>
      <c r="C715" s="429"/>
      <c r="D715" s="399"/>
      <c r="E715" s="397"/>
    </row>
    <row r="716" spans="1:5">
      <c r="A716" s="401"/>
      <c r="B716" s="453"/>
      <c r="C716" s="429"/>
      <c r="D716" s="399"/>
      <c r="E716" s="397"/>
    </row>
    <row r="717" spans="1:5">
      <c r="A717" s="401"/>
      <c r="B717" s="453"/>
      <c r="C717" s="429"/>
      <c r="D717" s="399"/>
      <c r="E717" s="397"/>
    </row>
    <row r="718" spans="1:5">
      <c r="A718" s="401"/>
      <c r="B718" s="453"/>
      <c r="C718" s="429"/>
      <c r="D718" s="399"/>
      <c r="E718" s="397"/>
    </row>
    <row r="719" spans="1:5">
      <c r="A719" s="401"/>
      <c r="B719" s="453"/>
      <c r="C719" s="429"/>
      <c r="D719" s="399"/>
      <c r="E719" s="397"/>
    </row>
    <row r="720" spans="1:5">
      <c r="A720" s="401"/>
      <c r="B720" s="453"/>
      <c r="C720" s="429"/>
      <c r="D720" s="399"/>
      <c r="E720" s="397"/>
    </row>
    <row r="721" spans="1:5">
      <c r="A721" s="401"/>
      <c r="B721" s="453"/>
      <c r="C721" s="429"/>
      <c r="D721" s="399"/>
      <c r="E721" s="397"/>
    </row>
    <row r="722" spans="1:5">
      <c r="A722" s="401"/>
      <c r="B722" s="453"/>
      <c r="C722" s="429"/>
      <c r="D722" s="399"/>
      <c r="E722" s="397"/>
    </row>
    <row r="723" spans="1:5">
      <c r="A723" s="401"/>
      <c r="B723" s="453"/>
      <c r="C723" s="429"/>
      <c r="D723" s="399"/>
      <c r="E723" s="397"/>
    </row>
    <row r="724" spans="1:5">
      <c r="A724" s="401"/>
      <c r="B724" s="453"/>
      <c r="C724" s="429"/>
      <c r="D724" s="399"/>
      <c r="E724" s="397"/>
    </row>
    <row r="725" spans="1:5">
      <c r="A725" s="401"/>
      <c r="B725" s="453"/>
      <c r="C725" s="429"/>
      <c r="D725" s="399"/>
      <c r="E725" s="397"/>
    </row>
    <row r="726" spans="1:5">
      <c r="A726" s="401"/>
      <c r="B726" s="453"/>
      <c r="C726" s="429"/>
      <c r="D726" s="399"/>
      <c r="E726" s="397"/>
    </row>
    <row r="727" spans="1:5">
      <c r="A727" s="401"/>
      <c r="B727" s="453"/>
      <c r="C727" s="429"/>
      <c r="D727" s="399"/>
      <c r="E727" s="397"/>
    </row>
    <row r="728" spans="1:5">
      <c r="A728" s="401"/>
      <c r="B728" s="453"/>
      <c r="C728" s="429"/>
      <c r="D728" s="399"/>
      <c r="E728" s="397"/>
    </row>
    <row r="729" spans="1:5">
      <c r="A729" s="401"/>
      <c r="B729" s="453"/>
      <c r="C729" s="429"/>
      <c r="D729" s="399"/>
      <c r="E729" s="397"/>
    </row>
    <row r="730" spans="1:5">
      <c r="A730" s="401"/>
      <c r="B730" s="453"/>
      <c r="C730" s="429"/>
      <c r="D730" s="399"/>
      <c r="E730" s="397"/>
    </row>
    <row r="731" spans="1:5">
      <c r="A731" s="401"/>
      <c r="B731" s="453"/>
      <c r="C731" s="429"/>
      <c r="D731" s="399"/>
      <c r="E731" s="397"/>
    </row>
    <row r="732" spans="1:5">
      <c r="A732" s="401"/>
      <c r="B732" s="453"/>
      <c r="C732" s="429"/>
      <c r="D732" s="399"/>
      <c r="E732" s="397"/>
    </row>
    <row r="733" spans="1:5">
      <c r="A733" s="401"/>
      <c r="B733" s="453"/>
      <c r="C733" s="429"/>
      <c r="D733" s="399"/>
      <c r="E733" s="397"/>
    </row>
    <row r="734" spans="1:5">
      <c r="A734" s="401"/>
      <c r="B734" s="453"/>
      <c r="C734" s="429"/>
      <c r="D734" s="399"/>
      <c r="E734" s="397"/>
    </row>
    <row r="735" spans="1:5">
      <c r="A735" s="401"/>
      <c r="B735" s="453"/>
      <c r="C735" s="429"/>
      <c r="D735" s="399"/>
      <c r="E735" s="397"/>
    </row>
    <row r="736" spans="1:5">
      <c r="A736" s="401"/>
      <c r="B736" s="453"/>
      <c r="C736" s="429"/>
      <c r="D736" s="399"/>
      <c r="E736" s="397"/>
    </row>
    <row r="737" spans="1:5">
      <c r="A737" s="401"/>
      <c r="B737" s="453"/>
      <c r="C737" s="429"/>
      <c r="D737" s="399"/>
      <c r="E737" s="397"/>
    </row>
    <row r="738" spans="1:5">
      <c r="A738" s="401"/>
      <c r="B738" s="453"/>
      <c r="C738" s="429"/>
      <c r="D738" s="399"/>
      <c r="E738" s="397"/>
    </row>
    <row r="739" spans="1:5">
      <c r="A739" s="401"/>
      <c r="B739" s="453"/>
      <c r="C739" s="429"/>
      <c r="D739" s="399"/>
      <c r="E739" s="397"/>
    </row>
    <row r="740" spans="1:5">
      <c r="A740" s="401"/>
      <c r="B740" s="453"/>
      <c r="C740" s="429"/>
      <c r="D740" s="399"/>
      <c r="E740" s="397"/>
    </row>
    <row r="741" spans="1:5">
      <c r="A741" s="401"/>
      <c r="B741" s="453"/>
      <c r="C741" s="429"/>
      <c r="D741" s="399"/>
      <c r="E741" s="397"/>
    </row>
    <row r="742" spans="1:5">
      <c r="A742" s="401"/>
      <c r="B742" s="453"/>
      <c r="C742" s="429"/>
      <c r="D742" s="399"/>
      <c r="E742" s="397"/>
    </row>
    <row r="743" spans="1:5">
      <c r="A743" s="401"/>
      <c r="B743" s="453"/>
      <c r="C743" s="429"/>
      <c r="D743" s="399"/>
      <c r="E743" s="397"/>
    </row>
    <row r="744" spans="1:5">
      <c r="A744" s="401"/>
      <c r="B744" s="453"/>
      <c r="C744" s="429"/>
      <c r="D744" s="399"/>
      <c r="E744" s="397"/>
    </row>
    <row r="745" spans="1:5">
      <c r="A745" s="401"/>
      <c r="B745" s="453"/>
      <c r="C745" s="429"/>
      <c r="D745" s="399"/>
      <c r="E745" s="397"/>
    </row>
    <row r="746" spans="1:5">
      <c r="A746" s="401"/>
      <c r="B746" s="453"/>
      <c r="C746" s="429"/>
      <c r="D746" s="399"/>
      <c r="E746" s="397"/>
    </row>
    <row r="747" spans="1:5">
      <c r="A747" s="401"/>
      <c r="B747" s="453"/>
      <c r="C747" s="429"/>
      <c r="D747" s="399"/>
      <c r="E747" s="397"/>
    </row>
    <row r="748" spans="1:5">
      <c r="A748" s="401"/>
      <c r="B748" s="453"/>
      <c r="C748" s="429"/>
      <c r="D748" s="399"/>
      <c r="E748" s="397"/>
    </row>
    <row r="749" spans="1:5">
      <c r="A749" s="401"/>
      <c r="B749" s="453"/>
      <c r="C749" s="429"/>
      <c r="D749" s="399"/>
      <c r="E749" s="397"/>
    </row>
    <row r="750" spans="1:5">
      <c r="A750" s="401"/>
      <c r="B750" s="453"/>
      <c r="C750" s="429"/>
      <c r="D750" s="399"/>
      <c r="E750" s="397"/>
    </row>
    <row r="751" spans="1:5">
      <c r="A751" s="401"/>
      <c r="B751" s="453"/>
      <c r="C751" s="429"/>
      <c r="D751" s="399"/>
      <c r="E751" s="397"/>
    </row>
    <row r="752" spans="1:5">
      <c r="A752" s="401"/>
      <c r="B752" s="453"/>
      <c r="C752" s="429"/>
      <c r="D752" s="399"/>
      <c r="E752" s="397"/>
    </row>
    <row r="753" spans="1:5">
      <c r="A753" s="401"/>
      <c r="B753" s="453"/>
      <c r="C753" s="429"/>
      <c r="D753" s="399"/>
      <c r="E753" s="397"/>
    </row>
    <row r="754" spans="1:5">
      <c r="A754" s="401"/>
      <c r="B754" s="453"/>
      <c r="C754" s="429"/>
      <c r="D754" s="399"/>
      <c r="E754" s="397"/>
    </row>
    <row r="755" spans="1:5">
      <c r="A755" s="401"/>
      <c r="B755" s="453"/>
      <c r="C755" s="429"/>
      <c r="D755" s="399"/>
      <c r="E755" s="397"/>
    </row>
    <row r="756" spans="1:5">
      <c r="A756" s="401"/>
      <c r="B756" s="453"/>
      <c r="C756" s="429"/>
      <c r="D756" s="399"/>
      <c r="E756" s="397"/>
    </row>
    <row r="757" spans="1:5">
      <c r="A757" s="401"/>
      <c r="B757" s="453"/>
      <c r="C757" s="429"/>
      <c r="D757" s="399"/>
      <c r="E757" s="397"/>
    </row>
    <row r="758" spans="1:5">
      <c r="A758" s="401"/>
      <c r="B758" s="453"/>
      <c r="C758" s="429"/>
      <c r="D758" s="399"/>
      <c r="E758" s="397"/>
    </row>
    <row r="759" spans="1:5">
      <c r="A759" s="401"/>
      <c r="B759" s="453"/>
      <c r="C759" s="429"/>
      <c r="D759" s="399"/>
      <c r="E759" s="397"/>
    </row>
    <row r="760" spans="1:5">
      <c r="A760" s="401"/>
      <c r="B760" s="453"/>
      <c r="C760" s="429"/>
      <c r="D760" s="399"/>
      <c r="E760" s="397"/>
    </row>
    <row r="761" spans="1:5">
      <c r="A761" s="401"/>
      <c r="B761" s="453"/>
      <c r="C761" s="429"/>
      <c r="D761" s="399"/>
      <c r="E761" s="397"/>
    </row>
    <row r="762" spans="1:5">
      <c r="A762" s="401"/>
      <c r="B762" s="453"/>
      <c r="C762" s="429"/>
      <c r="D762" s="399"/>
      <c r="E762" s="397"/>
    </row>
    <row r="763" spans="1:5">
      <c r="A763" s="401"/>
      <c r="B763" s="453"/>
      <c r="C763" s="429"/>
      <c r="D763" s="399"/>
      <c r="E763" s="397"/>
    </row>
    <row r="764" spans="1:5">
      <c r="A764" s="401"/>
      <c r="B764" s="453"/>
      <c r="C764" s="429"/>
      <c r="D764" s="399"/>
      <c r="E764" s="397"/>
    </row>
    <row r="765" spans="1:5">
      <c r="A765" s="401"/>
      <c r="B765" s="453"/>
      <c r="C765" s="429"/>
      <c r="D765" s="399"/>
      <c r="E765" s="397"/>
    </row>
    <row r="766" spans="1:5">
      <c r="A766" s="401"/>
      <c r="B766" s="453"/>
      <c r="C766" s="429"/>
      <c r="D766" s="399"/>
      <c r="E766" s="397"/>
    </row>
    <row r="767" spans="1:5">
      <c r="A767" s="401"/>
      <c r="B767" s="453"/>
      <c r="C767" s="429"/>
      <c r="D767" s="399"/>
      <c r="E767" s="397"/>
    </row>
    <row r="768" spans="1:5">
      <c r="A768" s="401"/>
      <c r="B768" s="453"/>
      <c r="C768" s="429"/>
      <c r="D768" s="399"/>
      <c r="E768" s="397"/>
    </row>
    <row r="769" spans="1:5">
      <c r="A769" s="401"/>
      <c r="B769" s="453"/>
      <c r="C769" s="429"/>
      <c r="D769" s="399"/>
      <c r="E769" s="397"/>
    </row>
    <row r="770" spans="1:5">
      <c r="A770" s="401"/>
      <c r="B770" s="453"/>
      <c r="C770" s="429"/>
      <c r="D770" s="399"/>
      <c r="E770" s="397"/>
    </row>
    <row r="771" spans="1:5">
      <c r="A771" s="401"/>
      <c r="B771" s="453"/>
      <c r="C771" s="429"/>
      <c r="D771" s="399"/>
      <c r="E771" s="397"/>
    </row>
    <row r="772" spans="1:5">
      <c r="A772" s="401"/>
      <c r="B772" s="453"/>
      <c r="C772" s="429"/>
      <c r="D772" s="399"/>
      <c r="E772" s="397"/>
    </row>
    <row r="773" spans="1:5">
      <c r="A773" s="401"/>
      <c r="B773" s="453"/>
      <c r="C773" s="429"/>
      <c r="D773" s="399"/>
      <c r="E773" s="397"/>
    </row>
    <row r="774" spans="1:5">
      <c r="A774" s="401"/>
      <c r="B774" s="453"/>
      <c r="C774" s="429"/>
      <c r="D774" s="399"/>
      <c r="E774" s="397"/>
    </row>
    <row r="775" spans="1:5">
      <c r="A775" s="401"/>
      <c r="B775" s="453"/>
      <c r="C775" s="429"/>
      <c r="D775" s="399"/>
      <c r="E775" s="397"/>
    </row>
    <row r="776" spans="1:5">
      <c r="A776" s="401"/>
      <c r="B776" s="453"/>
      <c r="C776" s="429"/>
      <c r="D776" s="399"/>
      <c r="E776" s="397"/>
    </row>
    <row r="777" spans="1:5">
      <c r="A777" s="401"/>
      <c r="B777" s="453"/>
      <c r="C777" s="429"/>
      <c r="D777" s="399"/>
      <c r="E777" s="397"/>
    </row>
    <row r="778" spans="1:5">
      <c r="A778" s="401"/>
      <c r="B778" s="453"/>
      <c r="C778" s="429"/>
      <c r="D778" s="399"/>
      <c r="E778" s="397"/>
    </row>
    <row r="779" spans="1:5">
      <c r="A779" s="401"/>
      <c r="B779" s="453"/>
      <c r="C779" s="429"/>
      <c r="D779" s="399"/>
      <c r="E779" s="397"/>
    </row>
    <row r="780" spans="1:5">
      <c r="A780" s="401"/>
      <c r="B780" s="453"/>
      <c r="C780" s="429"/>
      <c r="D780" s="399"/>
      <c r="E780" s="397"/>
    </row>
    <row r="781" spans="1:5">
      <c r="A781" s="401"/>
      <c r="B781" s="453"/>
      <c r="C781" s="429"/>
      <c r="D781" s="399"/>
      <c r="E781" s="397"/>
    </row>
    <row r="782" spans="1:5">
      <c r="A782" s="401"/>
      <c r="B782" s="453"/>
      <c r="C782" s="429"/>
      <c r="D782" s="399"/>
      <c r="E782" s="397"/>
    </row>
    <row r="783" spans="1:5">
      <c r="A783" s="401"/>
      <c r="B783" s="453"/>
      <c r="C783" s="429"/>
      <c r="D783" s="399"/>
      <c r="E783" s="397"/>
    </row>
    <row r="784" spans="1:5">
      <c r="A784" s="401"/>
      <c r="B784" s="453"/>
      <c r="C784" s="429"/>
      <c r="D784" s="399"/>
      <c r="E784" s="397"/>
    </row>
    <row r="785" spans="1:5">
      <c r="A785" s="401"/>
      <c r="B785" s="453"/>
      <c r="C785" s="429"/>
      <c r="D785" s="399"/>
      <c r="E785" s="397"/>
    </row>
    <row r="786" spans="1:5">
      <c r="A786" s="401"/>
      <c r="B786" s="453"/>
      <c r="C786" s="429"/>
      <c r="D786" s="399"/>
      <c r="E786" s="397"/>
    </row>
    <row r="787" spans="1:5">
      <c r="A787" s="401"/>
      <c r="B787" s="453"/>
      <c r="C787" s="429"/>
      <c r="D787" s="399"/>
      <c r="E787" s="397"/>
    </row>
    <row r="788" spans="1:5">
      <c r="A788" s="401"/>
      <c r="B788" s="453"/>
      <c r="C788" s="429"/>
      <c r="D788" s="399"/>
      <c r="E788" s="397"/>
    </row>
    <row r="789" spans="1:5">
      <c r="A789" s="401"/>
      <c r="B789" s="453"/>
      <c r="C789" s="429"/>
      <c r="D789" s="399"/>
      <c r="E789" s="397"/>
    </row>
    <row r="790" spans="1:5">
      <c r="A790" s="401"/>
      <c r="B790" s="453"/>
      <c r="C790" s="429"/>
      <c r="D790" s="399"/>
      <c r="E790" s="397"/>
    </row>
    <row r="791" spans="1:5">
      <c r="A791" s="401"/>
      <c r="B791" s="453"/>
      <c r="C791" s="429"/>
      <c r="D791" s="399"/>
      <c r="E791" s="397"/>
    </row>
    <row r="792" spans="1:5">
      <c r="A792" s="401"/>
      <c r="B792" s="453"/>
      <c r="C792" s="429"/>
      <c r="D792" s="399"/>
      <c r="E792" s="397"/>
    </row>
    <row r="793" spans="1:5">
      <c r="A793" s="401"/>
      <c r="B793" s="453"/>
      <c r="C793" s="429"/>
      <c r="D793" s="399"/>
      <c r="E793" s="397"/>
    </row>
    <row r="794" spans="1:5">
      <c r="A794" s="401"/>
      <c r="B794" s="453"/>
      <c r="C794" s="429"/>
      <c r="D794" s="399"/>
      <c r="E794" s="397"/>
    </row>
    <row r="795" spans="1:5">
      <c r="A795" s="401"/>
      <c r="B795" s="453"/>
      <c r="C795" s="429"/>
      <c r="D795" s="399"/>
      <c r="E795" s="397"/>
    </row>
    <row r="796" spans="1:5">
      <c r="A796" s="401"/>
      <c r="B796" s="453"/>
      <c r="C796" s="429"/>
      <c r="D796" s="399"/>
      <c r="E796" s="397"/>
    </row>
    <row r="797" spans="1:5">
      <c r="A797" s="401"/>
      <c r="B797" s="453"/>
      <c r="C797" s="429"/>
      <c r="D797" s="399"/>
      <c r="E797" s="397"/>
    </row>
    <row r="798" spans="1:5">
      <c r="A798" s="401"/>
      <c r="B798" s="453"/>
      <c r="C798" s="429"/>
      <c r="D798" s="399"/>
      <c r="E798" s="397"/>
    </row>
    <row r="799" spans="1:5">
      <c r="A799" s="401"/>
      <c r="B799" s="453"/>
      <c r="C799" s="429"/>
      <c r="D799" s="399"/>
      <c r="E799" s="397"/>
    </row>
    <row r="800" spans="1:5">
      <c r="A800" s="401"/>
      <c r="B800" s="453"/>
      <c r="C800" s="429"/>
      <c r="D800" s="399"/>
      <c r="E800" s="397"/>
    </row>
    <row r="801" spans="1:5">
      <c r="A801" s="401"/>
      <c r="B801" s="453"/>
      <c r="C801" s="429"/>
      <c r="D801" s="399"/>
      <c r="E801" s="397"/>
    </row>
    <row r="802" spans="1:5">
      <c r="A802" s="401"/>
      <c r="B802" s="453"/>
      <c r="C802" s="429"/>
      <c r="D802" s="399"/>
      <c r="E802" s="397"/>
    </row>
    <row r="803" spans="1:5">
      <c r="A803" s="401"/>
      <c r="B803" s="453"/>
      <c r="C803" s="429"/>
      <c r="D803" s="399"/>
      <c r="E803" s="397"/>
    </row>
    <row r="804" spans="1:5">
      <c r="A804" s="401"/>
      <c r="B804" s="453"/>
      <c r="C804" s="429"/>
      <c r="D804" s="399"/>
      <c r="E804" s="397"/>
    </row>
    <row r="805" spans="1:5">
      <c r="A805" s="401"/>
      <c r="B805" s="453"/>
      <c r="C805" s="429"/>
      <c r="D805" s="399"/>
      <c r="E805" s="397"/>
    </row>
    <row r="806" spans="1:5">
      <c r="A806" s="401"/>
      <c r="B806" s="453"/>
      <c r="C806" s="429"/>
      <c r="D806" s="399"/>
      <c r="E806" s="397"/>
    </row>
    <row r="807" spans="1:5">
      <c r="A807" s="401"/>
      <c r="B807" s="453"/>
      <c r="C807" s="429"/>
      <c r="D807" s="399"/>
      <c r="E807" s="397"/>
    </row>
    <row r="808" spans="1:5">
      <c r="A808" s="401"/>
      <c r="B808" s="453"/>
      <c r="C808" s="429"/>
      <c r="D808" s="399"/>
      <c r="E808" s="397"/>
    </row>
    <row r="809" spans="1:5">
      <c r="A809" s="401"/>
      <c r="B809" s="453"/>
      <c r="C809" s="429"/>
      <c r="D809" s="399"/>
      <c r="E809" s="397"/>
    </row>
    <row r="810" spans="1:5">
      <c r="A810" s="401"/>
      <c r="B810" s="453"/>
      <c r="C810" s="429"/>
      <c r="D810" s="399"/>
      <c r="E810" s="397"/>
    </row>
    <row r="811" spans="1:5">
      <c r="A811" s="401"/>
      <c r="B811" s="453"/>
      <c r="C811" s="429"/>
      <c r="D811" s="399"/>
      <c r="E811" s="397"/>
    </row>
    <row r="812" spans="1:5">
      <c r="A812" s="401"/>
      <c r="B812" s="453"/>
      <c r="C812" s="429"/>
      <c r="D812" s="399"/>
      <c r="E812" s="397"/>
    </row>
    <row r="813" spans="1:5">
      <c r="A813" s="401"/>
      <c r="B813" s="453"/>
      <c r="C813" s="429"/>
      <c r="D813" s="399"/>
      <c r="E813" s="397"/>
    </row>
    <row r="814" spans="1:5">
      <c r="A814" s="401"/>
      <c r="B814" s="453"/>
      <c r="C814" s="429"/>
      <c r="D814" s="399"/>
      <c r="E814" s="397"/>
    </row>
    <row r="815" spans="1:5">
      <c r="A815" s="401"/>
      <c r="B815" s="453"/>
      <c r="C815" s="429"/>
      <c r="D815" s="399"/>
      <c r="E815" s="397"/>
    </row>
    <row r="816" spans="1:5">
      <c r="A816" s="401"/>
      <c r="B816" s="453"/>
      <c r="C816" s="429"/>
      <c r="D816" s="399"/>
      <c r="E816" s="397"/>
    </row>
    <row r="817" spans="1:5">
      <c r="A817" s="401"/>
      <c r="B817" s="453"/>
      <c r="C817" s="429"/>
      <c r="D817" s="399"/>
      <c r="E817" s="397"/>
    </row>
    <row r="818" spans="1:5">
      <c r="A818" s="401"/>
      <c r="B818" s="453"/>
      <c r="C818" s="429"/>
      <c r="D818" s="399"/>
      <c r="E818" s="397"/>
    </row>
    <row r="819" spans="1:5">
      <c r="A819" s="401"/>
      <c r="B819" s="453"/>
      <c r="C819" s="429"/>
      <c r="D819" s="399"/>
      <c r="E819" s="397"/>
    </row>
    <row r="820" spans="1:5">
      <c r="A820" s="401"/>
      <c r="B820" s="453"/>
      <c r="C820" s="429"/>
      <c r="D820" s="399"/>
      <c r="E820" s="397"/>
    </row>
    <row r="821" spans="1:5">
      <c r="A821" s="401"/>
      <c r="B821" s="453"/>
      <c r="C821" s="429"/>
      <c r="D821" s="399"/>
      <c r="E821" s="397"/>
    </row>
    <row r="822" spans="1:5">
      <c r="A822" s="401"/>
      <c r="B822" s="453"/>
      <c r="C822" s="429"/>
      <c r="D822" s="399"/>
      <c r="E822" s="397"/>
    </row>
    <row r="823" spans="1:5">
      <c r="A823" s="401"/>
      <c r="B823" s="453"/>
      <c r="C823" s="429"/>
      <c r="D823" s="399"/>
      <c r="E823" s="397"/>
    </row>
    <row r="824" spans="1:5">
      <c r="A824" s="401"/>
      <c r="B824" s="453"/>
      <c r="C824" s="429"/>
      <c r="D824" s="399"/>
      <c r="E824" s="397"/>
    </row>
    <row r="825" spans="1:5">
      <c r="A825" s="401"/>
      <c r="B825" s="453"/>
      <c r="C825" s="429"/>
      <c r="D825" s="399"/>
      <c r="E825" s="397"/>
    </row>
    <row r="826" spans="1:5">
      <c r="A826" s="401"/>
      <c r="B826" s="453"/>
      <c r="C826" s="429"/>
      <c r="D826" s="399"/>
      <c r="E826" s="397"/>
    </row>
    <row r="827" spans="1:5">
      <c r="A827" s="401"/>
      <c r="B827" s="453"/>
      <c r="C827" s="429"/>
      <c r="D827" s="399"/>
      <c r="E827" s="397"/>
    </row>
    <row r="828" spans="1:5">
      <c r="A828" s="401"/>
      <c r="B828" s="453"/>
      <c r="C828" s="429"/>
      <c r="D828" s="399"/>
      <c r="E828" s="397"/>
    </row>
    <row r="829" spans="1:5">
      <c r="A829" s="401"/>
      <c r="B829" s="453"/>
      <c r="C829" s="429"/>
      <c r="D829" s="399"/>
      <c r="E829" s="397"/>
    </row>
    <row r="830" spans="1:5">
      <c r="A830" s="401"/>
      <c r="B830" s="453"/>
      <c r="C830" s="429"/>
      <c r="D830" s="399"/>
      <c r="E830" s="397"/>
    </row>
    <row r="831" spans="1:5">
      <c r="A831" s="401"/>
      <c r="B831" s="453"/>
      <c r="C831" s="429"/>
      <c r="D831" s="399"/>
      <c r="E831" s="397"/>
    </row>
    <row r="832" spans="1:5">
      <c r="A832" s="401"/>
      <c r="B832" s="453"/>
      <c r="C832" s="429"/>
      <c r="D832" s="399"/>
      <c r="E832" s="397"/>
    </row>
    <row r="833" spans="1:5">
      <c r="A833" s="401"/>
      <c r="B833" s="453"/>
      <c r="C833" s="429"/>
      <c r="D833" s="399"/>
      <c r="E833" s="397"/>
    </row>
    <row r="834" spans="1:5">
      <c r="A834" s="401"/>
      <c r="B834" s="453"/>
      <c r="C834" s="429"/>
      <c r="D834" s="399"/>
      <c r="E834" s="397"/>
    </row>
    <row r="835" spans="1:5">
      <c r="A835" s="401"/>
      <c r="B835" s="453"/>
      <c r="C835" s="429"/>
      <c r="D835" s="399"/>
      <c r="E835" s="397"/>
    </row>
    <row r="836" spans="1:5">
      <c r="A836" s="401"/>
      <c r="B836" s="453"/>
      <c r="C836" s="429"/>
      <c r="D836" s="399"/>
      <c r="E836" s="397"/>
    </row>
    <row r="837" spans="1:5">
      <c r="A837" s="401"/>
      <c r="B837" s="453"/>
      <c r="C837" s="429"/>
      <c r="D837" s="399"/>
      <c r="E837" s="397"/>
    </row>
    <row r="838" spans="1:5">
      <c r="A838" s="401"/>
      <c r="B838" s="453"/>
      <c r="C838" s="429"/>
      <c r="D838" s="399"/>
      <c r="E838" s="397"/>
    </row>
    <row r="839" spans="1:5">
      <c r="A839" s="401"/>
      <c r="B839" s="453"/>
      <c r="C839" s="429"/>
      <c r="D839" s="399"/>
      <c r="E839" s="397"/>
    </row>
    <row r="840" spans="1:5">
      <c r="A840" s="401"/>
      <c r="B840" s="453"/>
      <c r="C840" s="429"/>
      <c r="D840" s="399"/>
      <c r="E840" s="397"/>
    </row>
    <row r="841" spans="1:5">
      <c r="A841" s="401"/>
      <c r="B841" s="453"/>
      <c r="C841" s="429"/>
      <c r="D841" s="399"/>
      <c r="E841" s="397"/>
    </row>
    <row r="842" spans="1:5">
      <c r="A842" s="401"/>
      <c r="B842" s="453"/>
      <c r="C842" s="429"/>
      <c r="D842" s="399"/>
      <c r="E842" s="397"/>
    </row>
    <row r="843" spans="1:5">
      <c r="A843" s="401"/>
      <c r="B843" s="453"/>
      <c r="C843" s="429"/>
      <c r="D843" s="399"/>
      <c r="E843" s="397"/>
    </row>
    <row r="844" spans="1:5">
      <c r="A844" s="401"/>
      <c r="B844" s="453"/>
      <c r="C844" s="429"/>
      <c r="D844" s="399"/>
      <c r="E844" s="397"/>
    </row>
    <row r="845" spans="1:5">
      <c r="A845" s="401"/>
      <c r="B845" s="453"/>
      <c r="C845" s="429"/>
      <c r="D845" s="399"/>
      <c r="E845" s="397"/>
    </row>
    <row r="846" spans="1:5">
      <c r="A846" s="401"/>
      <c r="B846" s="453"/>
      <c r="C846" s="429"/>
      <c r="D846" s="399"/>
      <c r="E846" s="397"/>
    </row>
    <row r="847" spans="1:5">
      <c r="A847" s="401"/>
      <c r="B847" s="453"/>
      <c r="C847" s="429"/>
      <c r="D847" s="399"/>
      <c r="E847" s="397"/>
    </row>
    <row r="848" spans="1:5">
      <c r="A848" s="401"/>
      <c r="B848" s="453"/>
      <c r="C848" s="429"/>
      <c r="D848" s="399"/>
      <c r="E848" s="397"/>
    </row>
    <row r="849" spans="1:5">
      <c r="A849" s="401"/>
      <c r="B849" s="453"/>
      <c r="C849" s="429"/>
      <c r="D849" s="399"/>
      <c r="E849" s="397"/>
    </row>
    <row r="850" spans="1:5">
      <c r="A850" s="401"/>
      <c r="B850" s="453"/>
      <c r="C850" s="429"/>
      <c r="D850" s="399"/>
      <c r="E850" s="397"/>
    </row>
    <row r="851" spans="1:5">
      <c r="A851" s="401"/>
      <c r="B851" s="453"/>
      <c r="C851" s="429"/>
      <c r="D851" s="399"/>
      <c r="E851" s="397"/>
    </row>
    <row r="852" spans="1:5">
      <c r="A852" s="401"/>
      <c r="B852" s="453"/>
      <c r="C852" s="429"/>
      <c r="D852" s="399"/>
      <c r="E852" s="397"/>
    </row>
    <row r="853" spans="1:5">
      <c r="A853" s="401"/>
      <c r="B853" s="453"/>
      <c r="C853" s="429"/>
      <c r="D853" s="399"/>
      <c r="E853" s="397"/>
    </row>
    <row r="854" spans="1:5">
      <c r="A854" s="401"/>
      <c r="B854" s="453"/>
      <c r="C854" s="429"/>
      <c r="D854" s="399"/>
      <c r="E854" s="397"/>
    </row>
    <row r="855" spans="1:5">
      <c r="A855" s="401"/>
      <c r="B855" s="453"/>
      <c r="C855" s="429"/>
      <c r="D855" s="399"/>
      <c r="E855" s="397"/>
    </row>
    <row r="856" spans="1:5">
      <c r="A856" s="401"/>
      <c r="B856" s="453"/>
      <c r="C856" s="429"/>
      <c r="D856" s="399"/>
      <c r="E856" s="397"/>
    </row>
    <row r="857" spans="1:5">
      <c r="A857" s="401"/>
      <c r="B857" s="453"/>
      <c r="C857" s="429"/>
      <c r="D857" s="399"/>
      <c r="E857" s="397"/>
    </row>
    <row r="858" spans="1:5">
      <c r="A858" s="401"/>
      <c r="B858" s="453"/>
      <c r="C858" s="429"/>
      <c r="D858" s="399"/>
      <c r="E858" s="397"/>
    </row>
    <row r="859" spans="1:5">
      <c r="A859" s="401"/>
      <c r="B859" s="453"/>
      <c r="C859" s="429"/>
      <c r="D859" s="399"/>
      <c r="E859" s="397"/>
    </row>
    <row r="860" spans="1:5">
      <c r="A860" s="401"/>
      <c r="B860" s="453"/>
      <c r="C860" s="429"/>
      <c r="D860" s="399"/>
      <c r="E860" s="397"/>
    </row>
    <row r="861" spans="1:5">
      <c r="A861" s="401"/>
      <c r="B861" s="453"/>
      <c r="C861" s="429"/>
      <c r="D861" s="399"/>
      <c r="E861" s="397"/>
    </row>
    <row r="862" spans="1:5">
      <c r="A862" s="401"/>
      <c r="B862" s="453"/>
      <c r="C862" s="429"/>
      <c r="D862" s="399"/>
      <c r="E862" s="397"/>
    </row>
    <row r="863" spans="1:5">
      <c r="A863" s="401"/>
      <c r="B863" s="453"/>
      <c r="C863" s="429"/>
      <c r="D863" s="399"/>
      <c r="E863" s="397"/>
    </row>
    <row r="864" spans="1:5">
      <c r="A864" s="401"/>
      <c r="B864" s="453"/>
      <c r="C864" s="429"/>
      <c r="D864" s="399"/>
      <c r="E864" s="397"/>
    </row>
    <row r="865" spans="1:5">
      <c r="A865" s="401"/>
      <c r="B865" s="453"/>
      <c r="C865" s="429"/>
      <c r="D865" s="399"/>
      <c r="E865" s="397"/>
    </row>
    <row r="866" spans="1:5">
      <c r="A866" s="401"/>
      <c r="B866" s="453"/>
      <c r="C866" s="429"/>
      <c r="D866" s="399"/>
      <c r="E866" s="397"/>
    </row>
    <row r="867" spans="1:5">
      <c r="A867" s="401"/>
      <c r="B867" s="453"/>
      <c r="C867" s="429"/>
      <c r="D867" s="399"/>
      <c r="E867" s="397"/>
    </row>
    <row r="868" spans="1:5">
      <c r="A868" s="401"/>
      <c r="B868" s="453"/>
      <c r="C868" s="429"/>
      <c r="D868" s="399"/>
      <c r="E868" s="397"/>
    </row>
    <row r="869" spans="1:5">
      <c r="A869" s="401"/>
      <c r="B869" s="453"/>
      <c r="C869" s="429"/>
      <c r="D869" s="399"/>
      <c r="E869" s="397"/>
    </row>
    <row r="870" spans="1:5">
      <c r="A870" s="401"/>
      <c r="B870" s="453"/>
      <c r="C870" s="429"/>
      <c r="D870" s="399"/>
      <c r="E870" s="397"/>
    </row>
    <row r="871" spans="1:5">
      <c r="A871" s="401"/>
      <c r="B871" s="453"/>
      <c r="C871" s="429"/>
      <c r="D871" s="399"/>
      <c r="E871" s="397"/>
    </row>
    <row r="872" spans="1:5">
      <c r="A872" s="401"/>
      <c r="B872" s="453"/>
      <c r="C872" s="429"/>
      <c r="D872" s="399"/>
      <c r="E872" s="397"/>
    </row>
    <row r="873" spans="1:5">
      <c r="A873" s="401"/>
      <c r="B873" s="453"/>
      <c r="C873" s="429"/>
      <c r="D873" s="399"/>
      <c r="E873" s="397"/>
    </row>
    <row r="874" spans="1:5">
      <c r="A874" s="401"/>
      <c r="B874" s="453"/>
      <c r="C874" s="429"/>
      <c r="D874" s="399"/>
      <c r="E874" s="397"/>
    </row>
    <row r="875" spans="1:5">
      <c r="A875" s="401"/>
      <c r="B875" s="453"/>
      <c r="C875" s="429"/>
      <c r="D875" s="399"/>
      <c r="E875" s="397"/>
    </row>
    <row r="876" spans="1:5">
      <c r="A876" s="401"/>
      <c r="B876" s="453"/>
      <c r="C876" s="429"/>
      <c r="D876" s="399"/>
      <c r="E876" s="397"/>
    </row>
    <row r="877" spans="1:5">
      <c r="A877" s="401"/>
      <c r="B877" s="453"/>
      <c r="C877" s="429"/>
      <c r="D877" s="399"/>
      <c r="E877" s="397"/>
    </row>
    <row r="878" spans="1:5">
      <c r="A878" s="401"/>
      <c r="B878" s="453"/>
      <c r="C878" s="429"/>
      <c r="D878" s="399"/>
      <c r="E878" s="397"/>
    </row>
    <row r="879" spans="1:5">
      <c r="A879" s="401"/>
      <c r="B879" s="453"/>
      <c r="C879" s="429"/>
      <c r="D879" s="399"/>
      <c r="E879" s="397"/>
    </row>
    <row r="880" spans="1:5">
      <c r="A880" s="401"/>
      <c r="B880" s="453"/>
      <c r="C880" s="429"/>
      <c r="D880" s="399"/>
      <c r="E880" s="397"/>
    </row>
    <row r="881" spans="1:5">
      <c r="A881" s="401"/>
      <c r="B881" s="453"/>
      <c r="C881" s="429"/>
      <c r="D881" s="399"/>
      <c r="E881" s="397"/>
    </row>
    <row r="882" spans="1:5">
      <c r="A882" s="401"/>
      <c r="B882" s="453"/>
      <c r="C882" s="429"/>
      <c r="D882" s="399"/>
      <c r="E882" s="397"/>
    </row>
    <row r="883" spans="1:5">
      <c r="A883" s="401"/>
      <c r="B883" s="453"/>
      <c r="C883" s="429"/>
      <c r="D883" s="399"/>
      <c r="E883" s="397"/>
    </row>
    <row r="884" spans="1:5">
      <c r="A884" s="401"/>
      <c r="B884" s="453"/>
      <c r="C884" s="429"/>
      <c r="D884" s="399"/>
      <c r="E884" s="397"/>
    </row>
    <row r="885" spans="1:5">
      <c r="A885" s="401"/>
      <c r="B885" s="453"/>
      <c r="C885" s="429"/>
      <c r="D885" s="399"/>
      <c r="E885" s="397"/>
    </row>
    <row r="886" spans="1:5">
      <c r="A886" s="401"/>
      <c r="B886" s="453"/>
      <c r="C886" s="429"/>
      <c r="D886" s="399"/>
      <c r="E886" s="397"/>
    </row>
    <row r="887" spans="1:5">
      <c r="A887" s="401"/>
      <c r="B887" s="453"/>
      <c r="C887" s="429"/>
      <c r="D887" s="399"/>
      <c r="E887" s="397"/>
    </row>
    <row r="888" spans="1:5">
      <c r="A888" s="401"/>
      <c r="B888" s="453"/>
      <c r="C888" s="429"/>
      <c r="D888" s="399"/>
      <c r="E888" s="397"/>
    </row>
    <row r="889" spans="1:5">
      <c r="A889" s="401"/>
      <c r="B889" s="453"/>
      <c r="C889" s="429"/>
      <c r="D889" s="399"/>
      <c r="E889" s="397"/>
    </row>
    <row r="890" spans="1:5">
      <c r="A890" s="401"/>
      <c r="B890" s="453"/>
      <c r="C890" s="429"/>
      <c r="D890" s="399"/>
      <c r="E890" s="397"/>
    </row>
    <row r="891" spans="1:5">
      <c r="A891" s="401"/>
      <c r="B891" s="453"/>
      <c r="C891" s="429"/>
      <c r="D891" s="399"/>
      <c r="E891" s="397"/>
    </row>
    <row r="892" spans="1:5">
      <c r="A892" s="401"/>
      <c r="B892" s="453"/>
      <c r="C892" s="429"/>
      <c r="D892" s="399"/>
      <c r="E892" s="397"/>
    </row>
    <row r="893" spans="1:5">
      <c r="A893" s="401"/>
      <c r="B893" s="453"/>
      <c r="C893" s="429"/>
      <c r="D893" s="399"/>
      <c r="E893" s="397"/>
    </row>
    <row r="894" spans="1:5">
      <c r="A894" s="401"/>
      <c r="B894" s="453"/>
      <c r="C894" s="429"/>
      <c r="D894" s="399"/>
      <c r="E894" s="397"/>
    </row>
    <row r="895" spans="1:5">
      <c r="A895" s="401"/>
      <c r="B895" s="453"/>
      <c r="C895" s="429"/>
      <c r="D895" s="399"/>
      <c r="E895" s="397"/>
    </row>
    <row r="896" spans="1:5">
      <c r="A896" s="401"/>
      <c r="B896" s="453"/>
      <c r="C896" s="429"/>
      <c r="D896" s="399"/>
      <c r="E896" s="397"/>
    </row>
    <row r="897" spans="1:5">
      <c r="A897" s="401"/>
      <c r="B897" s="453"/>
      <c r="C897" s="429"/>
      <c r="D897" s="399"/>
      <c r="E897" s="397"/>
    </row>
    <row r="898" spans="1:5">
      <c r="A898" s="401"/>
      <c r="B898" s="453"/>
      <c r="C898" s="429"/>
      <c r="D898" s="399"/>
      <c r="E898" s="397"/>
    </row>
    <row r="899" spans="1:5">
      <c r="A899" s="401"/>
      <c r="B899" s="453"/>
      <c r="C899" s="429"/>
      <c r="D899" s="399"/>
      <c r="E899" s="397"/>
    </row>
    <row r="900" spans="1:5">
      <c r="A900" s="401"/>
      <c r="B900" s="453"/>
      <c r="C900" s="429"/>
      <c r="D900" s="399"/>
      <c r="E900" s="397"/>
    </row>
    <row r="901" spans="1:5">
      <c r="A901" s="401"/>
      <c r="B901" s="453"/>
      <c r="C901" s="429"/>
      <c r="D901" s="399"/>
      <c r="E901" s="397"/>
    </row>
    <row r="902" spans="1:5">
      <c r="A902" s="401"/>
      <c r="B902" s="453"/>
      <c r="C902" s="429"/>
      <c r="D902" s="399"/>
      <c r="E902" s="397"/>
    </row>
    <row r="903" spans="1:5">
      <c r="A903" s="401"/>
      <c r="B903" s="453"/>
      <c r="C903" s="429"/>
      <c r="D903" s="399"/>
      <c r="E903" s="397"/>
    </row>
    <row r="904" spans="1:5">
      <c r="A904" s="401"/>
      <c r="B904" s="453"/>
      <c r="C904" s="429"/>
      <c r="D904" s="399"/>
      <c r="E904" s="397"/>
    </row>
    <row r="905" spans="1:5">
      <c r="A905" s="401"/>
      <c r="B905" s="453"/>
      <c r="C905" s="429"/>
      <c r="D905" s="399"/>
      <c r="E905" s="397"/>
    </row>
    <row r="906" spans="1:5">
      <c r="A906" s="401"/>
      <c r="B906" s="453"/>
      <c r="C906" s="429"/>
      <c r="D906" s="399"/>
      <c r="E906" s="397"/>
    </row>
    <row r="907" spans="1:5">
      <c r="A907" s="401"/>
      <c r="B907" s="453"/>
      <c r="C907" s="429"/>
      <c r="D907" s="399"/>
      <c r="E907" s="397"/>
    </row>
    <row r="908" spans="1:5">
      <c r="A908" s="401"/>
      <c r="B908" s="453"/>
      <c r="C908" s="429"/>
      <c r="D908" s="399"/>
      <c r="E908" s="397"/>
    </row>
    <row r="909" spans="1:5">
      <c r="A909" s="401"/>
      <c r="B909" s="453"/>
      <c r="C909" s="429"/>
      <c r="D909" s="399"/>
      <c r="E909" s="397"/>
    </row>
    <row r="910" spans="1:5">
      <c r="A910" s="401"/>
      <c r="B910" s="453"/>
      <c r="C910" s="429"/>
      <c r="D910" s="399"/>
      <c r="E910" s="397"/>
    </row>
    <row r="911" spans="1:5">
      <c r="A911" s="401"/>
      <c r="B911" s="453"/>
      <c r="C911" s="429"/>
      <c r="D911" s="399"/>
      <c r="E911" s="397"/>
    </row>
    <row r="912" spans="1:5">
      <c r="A912" s="401"/>
      <c r="B912" s="453"/>
      <c r="C912" s="429"/>
      <c r="D912" s="399"/>
      <c r="E912" s="397"/>
    </row>
    <row r="913" spans="1:5">
      <c r="A913" s="401"/>
      <c r="B913" s="453"/>
      <c r="C913" s="429"/>
      <c r="D913" s="399"/>
      <c r="E913" s="397"/>
    </row>
    <row r="914" spans="1:5">
      <c r="A914" s="401"/>
      <c r="B914" s="453"/>
      <c r="C914" s="429"/>
      <c r="D914" s="399"/>
      <c r="E914" s="397"/>
    </row>
    <row r="915" spans="1:5">
      <c r="A915" s="401"/>
      <c r="B915" s="453"/>
      <c r="C915" s="429"/>
      <c r="D915" s="399"/>
      <c r="E915" s="397"/>
    </row>
    <row r="916" spans="1:5">
      <c r="A916" s="401"/>
      <c r="B916" s="453"/>
      <c r="C916" s="429"/>
      <c r="D916" s="399"/>
      <c r="E916" s="397"/>
    </row>
    <row r="917" spans="1:5">
      <c r="A917" s="401"/>
      <c r="B917" s="453"/>
      <c r="C917" s="429"/>
      <c r="D917" s="399"/>
      <c r="E917" s="397"/>
    </row>
    <row r="918" spans="1:5">
      <c r="A918" s="401"/>
      <c r="B918" s="453"/>
      <c r="C918" s="429"/>
      <c r="D918" s="399"/>
      <c r="E918" s="397"/>
    </row>
    <row r="919" spans="1:5">
      <c r="A919" s="401"/>
      <c r="B919" s="453"/>
      <c r="C919" s="429"/>
      <c r="D919" s="399"/>
      <c r="E919" s="397"/>
    </row>
    <row r="920" spans="1:5">
      <c r="A920" s="401"/>
      <c r="B920" s="453"/>
      <c r="C920" s="429"/>
      <c r="D920" s="399"/>
      <c r="E920" s="397"/>
    </row>
    <row r="921" spans="1:5">
      <c r="A921" s="401"/>
      <c r="B921" s="453"/>
      <c r="C921" s="429"/>
      <c r="D921" s="399"/>
      <c r="E921" s="397"/>
    </row>
    <row r="922" spans="1:5">
      <c r="A922" s="401"/>
      <c r="B922" s="453"/>
      <c r="C922" s="429"/>
      <c r="D922" s="399"/>
      <c r="E922" s="397"/>
    </row>
    <row r="923" spans="1:5">
      <c r="A923" s="401"/>
      <c r="B923" s="453"/>
      <c r="C923" s="429"/>
      <c r="D923" s="399"/>
      <c r="E923" s="397"/>
    </row>
    <row r="924" spans="1:5">
      <c r="A924" s="401"/>
      <c r="B924" s="453"/>
      <c r="C924" s="429"/>
      <c r="D924" s="399"/>
      <c r="E924" s="397"/>
    </row>
    <row r="925" spans="1:5">
      <c r="A925" s="401"/>
      <c r="B925" s="453"/>
      <c r="C925" s="429"/>
      <c r="D925" s="399"/>
      <c r="E925" s="397"/>
    </row>
    <row r="926" spans="1:5">
      <c r="A926" s="401"/>
      <c r="B926" s="453"/>
      <c r="C926" s="429"/>
      <c r="D926" s="399"/>
      <c r="E926" s="397"/>
    </row>
    <row r="927" spans="1:5">
      <c r="A927" s="401"/>
      <c r="B927" s="453"/>
      <c r="C927" s="429"/>
      <c r="D927" s="399"/>
      <c r="E927" s="397"/>
    </row>
    <row r="928" spans="1:5">
      <c r="A928" s="401"/>
      <c r="B928" s="453"/>
      <c r="C928" s="429"/>
      <c r="D928" s="399"/>
      <c r="E928" s="397"/>
    </row>
    <row r="929" spans="1:5">
      <c r="A929" s="401"/>
      <c r="B929" s="453"/>
      <c r="C929" s="429"/>
      <c r="D929" s="399"/>
      <c r="E929" s="397"/>
    </row>
    <row r="930" spans="1:5">
      <c r="A930" s="401"/>
      <c r="B930" s="453"/>
      <c r="C930" s="429"/>
      <c r="D930" s="399"/>
      <c r="E930" s="397"/>
    </row>
    <row r="931" spans="1:5">
      <c r="A931" s="401"/>
      <c r="B931" s="453"/>
      <c r="C931" s="429"/>
      <c r="D931" s="399"/>
      <c r="E931" s="397"/>
    </row>
    <row r="932" spans="1:5">
      <c r="A932" s="401"/>
      <c r="B932" s="453"/>
      <c r="C932" s="429"/>
      <c r="D932" s="399"/>
      <c r="E932" s="397"/>
    </row>
    <row r="933" spans="1:5">
      <c r="A933" s="401"/>
      <c r="B933" s="453"/>
      <c r="C933" s="429"/>
      <c r="D933" s="399"/>
      <c r="E933" s="397"/>
    </row>
    <row r="934" spans="1:5">
      <c r="A934" s="401"/>
      <c r="B934" s="453"/>
      <c r="C934" s="429"/>
      <c r="D934" s="399"/>
      <c r="E934" s="397"/>
    </row>
    <row r="935" spans="1:5">
      <c r="A935" s="401"/>
      <c r="B935" s="453"/>
      <c r="C935" s="429"/>
      <c r="D935" s="399"/>
      <c r="E935" s="397"/>
    </row>
    <row r="936" spans="1:5">
      <c r="A936" s="401"/>
      <c r="B936" s="453"/>
      <c r="C936" s="429"/>
      <c r="D936" s="399"/>
      <c r="E936" s="397"/>
    </row>
    <row r="937" spans="1:5">
      <c r="A937" s="401"/>
      <c r="B937" s="453"/>
      <c r="C937" s="429"/>
      <c r="D937" s="399"/>
      <c r="E937" s="397"/>
    </row>
    <row r="938" spans="1:5">
      <c r="A938" s="401"/>
      <c r="B938" s="453"/>
      <c r="C938" s="429"/>
      <c r="D938" s="399"/>
      <c r="E938" s="397"/>
    </row>
    <row r="939" spans="1:5">
      <c r="A939" s="401"/>
      <c r="B939" s="453"/>
      <c r="C939" s="429"/>
      <c r="D939" s="399"/>
      <c r="E939" s="397"/>
    </row>
    <row r="940" spans="1:5">
      <c r="A940" s="401"/>
      <c r="B940" s="453"/>
      <c r="C940" s="429"/>
      <c r="D940" s="399"/>
      <c r="E940" s="397"/>
    </row>
    <row r="941" spans="1:5">
      <c r="A941" s="401"/>
      <c r="B941" s="453"/>
      <c r="C941" s="429"/>
      <c r="D941" s="399"/>
      <c r="E941" s="397"/>
    </row>
    <row r="942" spans="1:5">
      <c r="A942" s="401"/>
      <c r="B942" s="453"/>
      <c r="C942" s="429"/>
      <c r="D942" s="399"/>
      <c r="E942" s="397"/>
    </row>
    <row r="943" spans="1:5">
      <c r="A943" s="401"/>
      <c r="B943" s="453"/>
      <c r="C943" s="429"/>
      <c r="D943" s="399"/>
      <c r="E943" s="397"/>
    </row>
    <row r="944" spans="1:5">
      <c r="A944" s="401"/>
      <c r="B944" s="453"/>
      <c r="C944" s="429"/>
      <c r="D944" s="399"/>
      <c r="E944" s="397"/>
    </row>
    <row r="945" spans="1:5">
      <c r="A945" s="401"/>
      <c r="B945" s="453"/>
      <c r="C945" s="429"/>
      <c r="D945" s="399"/>
      <c r="E945" s="397"/>
    </row>
    <row r="946" spans="1:5">
      <c r="A946" s="401"/>
      <c r="B946" s="453"/>
      <c r="C946" s="429"/>
      <c r="D946" s="399"/>
      <c r="E946" s="397"/>
    </row>
    <row r="947" spans="1:5">
      <c r="A947" s="401"/>
      <c r="B947" s="453"/>
      <c r="C947" s="429"/>
      <c r="D947" s="399"/>
      <c r="E947" s="397"/>
    </row>
    <row r="948" spans="1:5">
      <c r="A948" s="401"/>
      <c r="B948" s="453"/>
      <c r="C948" s="429"/>
      <c r="D948" s="399"/>
      <c r="E948" s="397"/>
    </row>
    <row r="949" spans="1:5">
      <c r="A949" s="401"/>
      <c r="B949" s="453"/>
      <c r="C949" s="429"/>
      <c r="D949" s="399"/>
      <c r="E949" s="397"/>
    </row>
    <row r="950" spans="1:5">
      <c r="A950" s="401"/>
      <c r="B950" s="453"/>
      <c r="C950" s="429"/>
      <c r="D950" s="399"/>
      <c r="E950" s="397"/>
    </row>
    <row r="951" spans="1:5">
      <c r="A951" s="401"/>
      <c r="B951" s="453"/>
      <c r="C951" s="429"/>
      <c r="D951" s="399"/>
      <c r="E951" s="397"/>
    </row>
    <row r="952" spans="1:5">
      <c r="A952" s="401"/>
      <c r="B952" s="453"/>
      <c r="C952" s="429"/>
      <c r="D952" s="399"/>
      <c r="E952" s="397"/>
    </row>
    <row r="953" spans="1:5">
      <c r="A953" s="401"/>
      <c r="B953" s="453"/>
      <c r="C953" s="429"/>
      <c r="D953" s="399"/>
      <c r="E953" s="397"/>
    </row>
    <row r="954" spans="1:5">
      <c r="A954" s="401"/>
      <c r="B954" s="453"/>
      <c r="C954" s="429"/>
      <c r="D954" s="399"/>
      <c r="E954" s="397"/>
    </row>
    <row r="955" spans="1:5">
      <c r="A955" s="401"/>
      <c r="B955" s="453"/>
      <c r="C955" s="429"/>
      <c r="D955" s="399"/>
      <c r="E955" s="397"/>
    </row>
    <row r="956" spans="1:5">
      <c r="A956" s="401"/>
      <c r="B956" s="453"/>
      <c r="C956" s="429"/>
      <c r="D956" s="399"/>
      <c r="E956" s="397"/>
    </row>
    <row r="957" spans="1:5">
      <c r="A957" s="401"/>
      <c r="B957" s="453"/>
      <c r="C957" s="429"/>
      <c r="D957" s="399"/>
      <c r="E957" s="397"/>
    </row>
    <row r="958" spans="1:5">
      <c r="A958" s="401"/>
      <c r="B958" s="453"/>
      <c r="C958" s="429"/>
      <c r="D958" s="399"/>
      <c r="E958" s="397"/>
    </row>
    <row r="959" spans="1:5">
      <c r="A959" s="401"/>
      <c r="B959" s="453"/>
      <c r="C959" s="429"/>
      <c r="D959" s="399"/>
      <c r="E959" s="397"/>
    </row>
    <row r="960" spans="1:5">
      <c r="A960" s="401"/>
      <c r="B960" s="453"/>
      <c r="C960" s="429"/>
      <c r="D960" s="399"/>
      <c r="E960" s="397"/>
    </row>
    <row r="961" spans="1:5">
      <c r="A961" s="401"/>
      <c r="B961" s="453"/>
      <c r="C961" s="429"/>
      <c r="D961" s="399"/>
      <c r="E961" s="397"/>
    </row>
    <row r="962" spans="1:5">
      <c r="A962" s="401"/>
      <c r="B962" s="453"/>
      <c r="C962" s="429"/>
      <c r="D962" s="399"/>
      <c r="E962" s="397"/>
    </row>
    <row r="963" spans="1:5">
      <c r="A963" s="401"/>
      <c r="B963" s="453"/>
      <c r="C963" s="429"/>
      <c r="D963" s="399"/>
      <c r="E963" s="397"/>
    </row>
    <row r="964" spans="1:5">
      <c r="A964" s="401"/>
      <c r="B964" s="453"/>
      <c r="C964" s="429"/>
      <c r="D964" s="399"/>
      <c r="E964" s="397"/>
    </row>
    <row r="965" spans="1:5">
      <c r="A965" s="401"/>
      <c r="B965" s="453"/>
      <c r="C965" s="429"/>
      <c r="D965" s="399"/>
      <c r="E965" s="397"/>
    </row>
    <row r="966" spans="1:5">
      <c r="A966" s="401"/>
      <c r="B966" s="453"/>
      <c r="C966" s="429"/>
      <c r="D966" s="399"/>
      <c r="E966" s="397"/>
    </row>
    <row r="967" spans="1:5">
      <c r="A967" s="401"/>
      <c r="B967" s="453"/>
      <c r="C967" s="429"/>
      <c r="D967" s="399"/>
      <c r="E967" s="397"/>
    </row>
    <row r="968" spans="1:5">
      <c r="A968" s="401"/>
      <c r="B968" s="453"/>
      <c r="C968" s="429"/>
      <c r="D968" s="399"/>
      <c r="E968" s="397"/>
    </row>
    <row r="969" spans="1:5">
      <c r="A969" s="401"/>
      <c r="B969" s="453"/>
      <c r="C969" s="429"/>
      <c r="D969" s="399"/>
      <c r="E969" s="397"/>
    </row>
    <row r="970" spans="1:5">
      <c r="A970" s="401"/>
      <c r="B970" s="453"/>
      <c r="C970" s="429"/>
      <c r="D970" s="399"/>
      <c r="E970" s="397"/>
    </row>
    <row r="971" spans="1:5">
      <c r="A971" s="401"/>
      <c r="B971" s="453"/>
      <c r="C971" s="429"/>
      <c r="D971" s="399"/>
      <c r="E971" s="397"/>
    </row>
    <row r="972" spans="1:5">
      <c r="A972" s="401"/>
      <c r="B972" s="453"/>
      <c r="C972" s="429"/>
      <c r="D972" s="399"/>
      <c r="E972" s="397"/>
    </row>
    <row r="973" spans="1:5">
      <c r="A973" s="401"/>
      <c r="B973" s="453"/>
      <c r="C973" s="429"/>
      <c r="D973" s="399"/>
      <c r="E973" s="397"/>
    </row>
    <row r="974" spans="1:5">
      <c r="A974" s="401"/>
      <c r="B974" s="453"/>
      <c r="C974" s="429"/>
      <c r="D974" s="399"/>
      <c r="E974" s="397"/>
    </row>
    <row r="975" spans="1:5">
      <c r="A975" s="401"/>
      <c r="B975" s="453"/>
      <c r="C975" s="429"/>
      <c r="D975" s="399"/>
      <c r="E975" s="397"/>
    </row>
    <row r="976" spans="1:5">
      <c r="A976" s="401"/>
      <c r="B976" s="453"/>
      <c r="C976" s="429"/>
      <c r="D976" s="399"/>
      <c r="E976" s="397"/>
    </row>
    <row r="977" spans="1:5">
      <c r="A977" s="401"/>
      <c r="B977" s="453"/>
      <c r="C977" s="429"/>
      <c r="D977" s="399"/>
      <c r="E977" s="397"/>
    </row>
    <row r="978" spans="1:5">
      <c r="A978" s="401"/>
      <c r="B978" s="453"/>
      <c r="C978" s="429"/>
      <c r="D978" s="399"/>
      <c r="E978" s="397"/>
    </row>
    <row r="979" spans="1:5">
      <c r="A979" s="401"/>
      <c r="B979" s="453"/>
      <c r="C979" s="429"/>
      <c r="D979" s="399"/>
      <c r="E979" s="397"/>
    </row>
    <row r="980" spans="1:5">
      <c r="A980" s="401"/>
      <c r="B980" s="453"/>
      <c r="C980" s="429"/>
      <c r="D980" s="399"/>
      <c r="E980" s="397"/>
    </row>
    <row r="981" spans="1:5">
      <c r="A981" s="401"/>
      <c r="B981" s="453"/>
      <c r="C981" s="429"/>
      <c r="D981" s="399"/>
      <c r="E981" s="397"/>
    </row>
    <row r="982" spans="1:5">
      <c r="A982" s="401"/>
      <c r="B982" s="453"/>
      <c r="C982" s="429"/>
      <c r="D982" s="399"/>
      <c r="E982" s="397"/>
    </row>
    <row r="983" spans="1:5">
      <c r="A983" s="401"/>
      <c r="B983" s="453"/>
      <c r="C983" s="429"/>
      <c r="D983" s="399"/>
      <c r="E983" s="397"/>
    </row>
    <row r="984" spans="1:5">
      <c r="A984" s="401"/>
      <c r="B984" s="453"/>
      <c r="C984" s="429"/>
      <c r="D984" s="399"/>
      <c r="E984" s="397"/>
    </row>
    <row r="985" spans="1:5">
      <c r="A985" s="401"/>
      <c r="B985" s="453"/>
      <c r="C985" s="429"/>
      <c r="D985" s="399"/>
      <c r="E985" s="397"/>
    </row>
    <row r="986" spans="1:5">
      <c r="A986" s="401"/>
      <c r="B986" s="453"/>
      <c r="C986" s="429"/>
      <c r="D986" s="399"/>
      <c r="E986" s="397"/>
    </row>
    <row r="987" spans="1:5">
      <c r="A987" s="401"/>
      <c r="B987" s="453"/>
      <c r="C987" s="429"/>
      <c r="D987" s="399"/>
      <c r="E987" s="397"/>
    </row>
    <row r="988" spans="1:5">
      <c r="A988" s="401"/>
      <c r="B988" s="453"/>
      <c r="C988" s="429"/>
      <c r="D988" s="399"/>
      <c r="E988" s="397"/>
    </row>
    <row r="989" spans="1:5">
      <c r="A989" s="401"/>
      <c r="B989" s="453"/>
      <c r="C989" s="429"/>
      <c r="D989" s="399"/>
      <c r="E989" s="397"/>
    </row>
    <row r="990" spans="1:5">
      <c r="A990" s="401"/>
      <c r="B990" s="453"/>
      <c r="C990" s="429"/>
      <c r="D990" s="399"/>
      <c r="E990" s="397"/>
    </row>
    <row r="991" spans="1:5">
      <c r="A991" s="401"/>
      <c r="B991" s="453"/>
      <c r="C991" s="429"/>
      <c r="D991" s="399"/>
      <c r="E991" s="397"/>
    </row>
    <row r="992" spans="1:5">
      <c r="A992" s="401"/>
      <c r="B992" s="453"/>
      <c r="C992" s="429"/>
      <c r="D992" s="399"/>
      <c r="E992" s="397"/>
    </row>
    <row r="993" spans="1:5">
      <c r="A993" s="401"/>
      <c r="B993" s="453"/>
      <c r="C993" s="429"/>
      <c r="D993" s="399"/>
      <c r="E993" s="397"/>
    </row>
    <row r="994" spans="1:5">
      <c r="A994" s="401"/>
      <c r="B994" s="453"/>
      <c r="C994" s="429"/>
      <c r="D994" s="399"/>
      <c r="E994" s="397"/>
    </row>
    <row r="995" spans="1:5">
      <c r="A995" s="401"/>
      <c r="B995" s="453"/>
      <c r="C995" s="429"/>
      <c r="D995" s="399"/>
      <c r="E995" s="397"/>
    </row>
    <row r="996" spans="1:5">
      <c r="A996" s="401"/>
      <c r="B996" s="453"/>
      <c r="C996" s="429"/>
      <c r="D996" s="399"/>
      <c r="E996" s="397"/>
    </row>
    <row r="997" spans="1:5">
      <c r="A997" s="401"/>
      <c r="B997" s="453"/>
      <c r="C997" s="429"/>
      <c r="D997" s="399"/>
      <c r="E997" s="397"/>
    </row>
    <row r="998" spans="1:5">
      <c r="A998" s="401"/>
      <c r="B998" s="453"/>
      <c r="C998" s="429"/>
      <c r="D998" s="399"/>
      <c r="E998" s="397"/>
    </row>
    <row r="999" spans="1:5">
      <c r="A999" s="401"/>
      <c r="B999" s="453"/>
      <c r="C999" s="429"/>
      <c r="D999" s="399"/>
      <c r="E999" s="397"/>
    </row>
    <row r="1000" spans="1:5">
      <c r="A1000" s="401"/>
      <c r="B1000" s="453"/>
      <c r="C1000" s="429"/>
      <c r="D1000" s="399"/>
      <c r="E1000" s="397"/>
    </row>
    <row r="1001" spans="1:5">
      <c r="A1001" s="401"/>
      <c r="B1001" s="453"/>
      <c r="C1001" s="429"/>
      <c r="D1001" s="399"/>
      <c r="E1001" s="397"/>
    </row>
    <row r="1002" spans="1:5">
      <c r="A1002" s="401"/>
      <c r="B1002" s="453"/>
      <c r="C1002" s="429"/>
      <c r="D1002" s="399"/>
      <c r="E1002" s="397"/>
    </row>
    <row r="1003" spans="1:5">
      <c r="A1003" s="401"/>
      <c r="B1003" s="453"/>
      <c r="C1003" s="429"/>
      <c r="D1003" s="399"/>
      <c r="E1003" s="397"/>
    </row>
    <row r="1004" spans="1:5">
      <c r="A1004" s="401"/>
      <c r="B1004" s="453"/>
      <c r="C1004" s="429"/>
      <c r="D1004" s="399"/>
      <c r="E1004" s="397"/>
    </row>
    <row r="1005" spans="1:5">
      <c r="A1005" s="401"/>
      <c r="B1005" s="453"/>
      <c r="C1005" s="429"/>
      <c r="D1005" s="399"/>
      <c r="E1005" s="397"/>
    </row>
    <row r="1006" spans="1:5">
      <c r="A1006" s="401"/>
      <c r="B1006" s="453"/>
      <c r="C1006" s="429"/>
      <c r="D1006" s="399"/>
      <c r="E1006" s="397"/>
    </row>
    <row r="1007" spans="1:5">
      <c r="A1007" s="401"/>
      <c r="B1007" s="453"/>
      <c r="C1007" s="429"/>
      <c r="D1007" s="399"/>
      <c r="E1007" s="397"/>
    </row>
    <row r="1008" spans="1:5">
      <c r="A1008" s="401"/>
      <c r="B1008" s="453"/>
      <c r="C1008" s="429"/>
      <c r="D1008" s="399"/>
      <c r="E1008" s="267"/>
    </row>
    <row r="1009" spans="1:4">
      <c r="A1009" s="401"/>
      <c r="B1009" s="453"/>
      <c r="C1009" s="429"/>
      <c r="D1009" s="399"/>
    </row>
    <row r="1010" spans="1:4">
      <c r="A1010" s="401"/>
      <c r="B1010" s="453"/>
      <c r="C1010" s="429"/>
      <c r="D1010" s="399"/>
    </row>
  </sheetData>
  <mergeCells count="1">
    <mergeCell ref="A1:D1"/>
  </mergeCells>
  <conditionalFormatting sqref="C4:C16 C18:C26 C28:C32 C34">
    <cfRule type="cellIs" dxfId="10" priority="1" operator="equal">
      <formula>"Да"</formula>
    </cfRule>
    <cfRule type="cellIs" dxfId="9" priority="2" operator="equal">
      <formula>"Нет"</formula>
    </cfRule>
    <cfRule type="notContainsBlanks" dxfId="8" priority="3">
      <formula>LEN(TRIM(C4))&gt;0</formula>
    </cfRule>
  </conditionalFormatting>
  <dataValidations count="1">
    <dataValidation type="list" allowBlank="1" showErrorMessage="1" sqref="C4:C16 C18:C26 C28:C32 C34" xr:uid="{00000000-0002-0000-1100-000000000000}">
      <formula1>",Да,Нет,"</formula1>
    </dataValidation>
  </dataValidations>
  <printOptions horizontalCentered="1" gridLines="1"/>
  <pageMargins left="0.66929133858267709" right="0.66929133858267709" top="0.66929133858267709" bottom="0.39370078740157477" header="0" footer="0"/>
  <pageSetup paperSize="9" fitToHeight="0"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E1010"/>
  <sheetViews>
    <sheetView workbookViewId="0">
      <selection sqref="A1:D1"/>
    </sheetView>
  </sheetViews>
  <sheetFormatPr defaultColWidth="14.42578125" defaultRowHeight="15" customHeight="1"/>
  <cols>
    <col min="1" max="1" width="7.140625" style="257" customWidth="1"/>
    <col min="2" max="2" width="73.42578125" style="257" customWidth="1"/>
    <col min="3" max="3" width="11.85546875" style="257" customWidth="1"/>
    <col min="4" max="4" width="25.28515625" style="257" customWidth="1"/>
    <col min="5" max="5" width="18" style="257" customWidth="1"/>
    <col min="6" max="16384" width="14.42578125" style="257"/>
  </cols>
  <sheetData>
    <row r="1" spans="1:5" ht="16.5" thickBot="1">
      <c r="A1" s="739" t="s">
        <v>442</v>
      </c>
      <c r="B1" s="740"/>
      <c r="C1" s="740"/>
      <c r="D1" s="740"/>
      <c r="E1" s="402"/>
    </row>
    <row r="2" spans="1:5" ht="17.25" thickTop="1" thickBot="1">
      <c r="A2" s="428" t="s">
        <v>81</v>
      </c>
      <c r="B2" s="427" t="s">
        <v>426</v>
      </c>
      <c r="C2" s="428" t="s">
        <v>425</v>
      </c>
      <c r="D2" s="428" t="s">
        <v>424</v>
      </c>
      <c r="E2" s="402"/>
    </row>
    <row r="3" spans="1:5" ht="17.25" thickTop="1" thickBot="1">
      <c r="A3" s="412"/>
      <c r="B3" s="410" t="s">
        <v>423</v>
      </c>
      <c r="C3" s="410"/>
      <c r="D3" s="410"/>
      <c r="E3" s="402"/>
    </row>
    <row r="4" spans="1:5" ht="16.5" thickTop="1">
      <c r="A4" s="419">
        <v>44562</v>
      </c>
      <c r="B4" s="421" t="s">
        <v>422</v>
      </c>
      <c r="C4" s="414"/>
      <c r="D4" s="438"/>
      <c r="E4" s="402"/>
    </row>
    <row r="5" spans="1:5" ht="15.75">
      <c r="A5" s="419">
        <v>44593</v>
      </c>
      <c r="B5" s="423" t="s">
        <v>421</v>
      </c>
      <c r="C5" s="414"/>
      <c r="D5" s="438"/>
      <c r="E5" s="402"/>
    </row>
    <row r="6" spans="1:5" ht="15.75">
      <c r="A6" s="419">
        <v>44621</v>
      </c>
      <c r="B6" s="423" t="s">
        <v>420</v>
      </c>
      <c r="C6" s="414"/>
      <c r="D6" s="438"/>
      <c r="E6" s="402"/>
    </row>
    <row r="7" spans="1:5" ht="15.75">
      <c r="A7" s="419">
        <v>44652</v>
      </c>
      <c r="B7" s="423" t="s">
        <v>419</v>
      </c>
      <c r="C7" s="414"/>
      <c r="D7" s="438"/>
      <c r="E7" s="402"/>
    </row>
    <row r="8" spans="1:5" ht="15.75">
      <c r="A8" s="419">
        <v>44682</v>
      </c>
      <c r="B8" s="423" t="s">
        <v>441</v>
      </c>
      <c r="C8" s="414"/>
      <c r="D8" s="438"/>
      <c r="E8" s="402"/>
    </row>
    <row r="9" spans="1:5" ht="25.5">
      <c r="A9" s="419">
        <v>44713</v>
      </c>
      <c r="B9" s="425" t="s">
        <v>415</v>
      </c>
      <c r="C9" s="414"/>
      <c r="D9" s="438"/>
      <c r="E9" s="402"/>
    </row>
    <row r="10" spans="1:5" ht="15.75">
      <c r="A10" s="419">
        <v>44743</v>
      </c>
      <c r="B10" s="423" t="s">
        <v>414</v>
      </c>
      <c r="C10" s="414"/>
      <c r="D10" s="438"/>
      <c r="E10" s="402"/>
    </row>
    <row r="11" spans="1:5" ht="15.75">
      <c r="A11" s="419">
        <v>44774</v>
      </c>
      <c r="B11" s="423" t="s">
        <v>413</v>
      </c>
      <c r="C11" s="414"/>
      <c r="D11" s="438"/>
      <c r="E11" s="424" t="s">
        <v>412</v>
      </c>
    </row>
    <row r="12" spans="1:5" ht="15.75">
      <c r="A12" s="419">
        <v>44805</v>
      </c>
      <c r="B12" s="423" t="s">
        <v>405</v>
      </c>
      <c r="C12" s="414"/>
      <c r="D12" s="438"/>
      <c r="E12" s="402"/>
    </row>
    <row r="13" spans="1:5" ht="15.75" thickBot="1">
      <c r="A13" s="419">
        <v>44835</v>
      </c>
      <c r="B13" s="423" t="s">
        <v>440</v>
      </c>
      <c r="C13" s="414"/>
      <c r="D13" s="438"/>
    </row>
    <row r="14" spans="1:5" ht="17.25" thickTop="1" thickBot="1">
      <c r="A14" s="412"/>
      <c r="B14" s="410" t="s">
        <v>439</v>
      </c>
      <c r="C14" s="410"/>
      <c r="D14" s="410"/>
      <c r="E14" s="402"/>
    </row>
    <row r="15" spans="1:5" ht="27" thickTop="1">
      <c r="A15" s="419">
        <v>44563</v>
      </c>
      <c r="B15" s="421" t="s">
        <v>438</v>
      </c>
      <c r="C15" s="414"/>
      <c r="D15" s="438"/>
      <c r="E15" s="402"/>
    </row>
    <row r="16" spans="1:5" ht="15.75">
      <c r="A16" s="419">
        <v>44594</v>
      </c>
      <c r="B16" s="421" t="s">
        <v>437</v>
      </c>
      <c r="C16" s="414"/>
      <c r="D16" s="438"/>
      <c r="E16" s="402"/>
    </row>
    <row r="17" spans="1:5" ht="26.25">
      <c r="A17" s="419">
        <v>44622</v>
      </c>
      <c r="B17" s="421" t="s">
        <v>436</v>
      </c>
      <c r="C17" s="414"/>
      <c r="D17" s="438"/>
      <c r="E17" s="402"/>
    </row>
    <row r="18" spans="1:5" ht="15.75">
      <c r="A18" s="419">
        <v>44653</v>
      </c>
      <c r="B18" s="421" t="s">
        <v>435</v>
      </c>
      <c r="C18" s="414"/>
      <c r="D18" s="438"/>
      <c r="E18" s="402"/>
    </row>
    <row r="19" spans="1:5" ht="15.75">
      <c r="A19" s="419">
        <v>44683</v>
      </c>
      <c r="B19" s="423" t="s">
        <v>434</v>
      </c>
      <c r="C19" s="414"/>
      <c r="D19" s="438"/>
      <c r="E19" s="402"/>
    </row>
    <row r="20" spans="1:5" ht="15.75">
      <c r="A20" s="419">
        <v>44714</v>
      </c>
      <c r="B20" s="423" t="s">
        <v>433</v>
      </c>
      <c r="C20" s="414"/>
      <c r="D20" s="438"/>
      <c r="E20" s="402"/>
    </row>
    <row r="21" spans="1:5" ht="15.75">
      <c r="A21" s="419">
        <v>44744</v>
      </c>
      <c r="B21" s="421" t="s">
        <v>432</v>
      </c>
      <c r="C21" s="414"/>
      <c r="D21" s="438"/>
      <c r="E21" s="402"/>
    </row>
    <row r="22" spans="1:5" ht="16.5" thickBot="1">
      <c r="A22" s="419">
        <v>44775</v>
      </c>
      <c r="B22" s="421" t="s">
        <v>431</v>
      </c>
      <c r="C22" s="414"/>
      <c r="D22" s="438"/>
      <c r="E22" s="402"/>
    </row>
    <row r="23" spans="1:5" ht="17.25" thickTop="1" thickBot="1">
      <c r="A23" s="412"/>
      <c r="B23" s="410" t="s">
        <v>430</v>
      </c>
      <c r="C23" s="410"/>
      <c r="D23" s="410"/>
      <c r="E23" s="402"/>
    </row>
    <row r="24" spans="1:5" ht="16.5" thickTop="1">
      <c r="A24" s="437">
        <v>44564</v>
      </c>
      <c r="B24" s="436" t="s">
        <v>429</v>
      </c>
      <c r="C24" s="435"/>
      <c r="D24" s="434"/>
      <c r="E24" s="402"/>
    </row>
    <row r="25" spans="1:5" ht="27" thickBot="1">
      <c r="A25" s="433">
        <v>44595</v>
      </c>
      <c r="B25" s="432" t="s">
        <v>428</v>
      </c>
      <c r="C25" s="431"/>
      <c r="D25" s="430"/>
      <c r="E25" s="402"/>
    </row>
    <row r="26" spans="1:5" ht="16.5" thickTop="1">
      <c r="A26" s="404"/>
      <c r="B26" s="403"/>
      <c r="C26" s="429"/>
      <c r="D26" s="397"/>
      <c r="E26" s="402"/>
    </row>
    <row r="27" spans="1:5" ht="15.75">
      <c r="A27" s="404"/>
      <c r="B27" s="403"/>
      <c r="C27" s="429"/>
      <c r="D27" s="397"/>
      <c r="E27" s="402"/>
    </row>
    <row r="28" spans="1:5" ht="15.75">
      <c r="A28" s="401"/>
      <c r="B28" s="400"/>
      <c r="C28" s="429"/>
      <c r="D28" s="397"/>
      <c r="E28" s="402"/>
    </row>
    <row r="29" spans="1:5" ht="15.75">
      <c r="A29" s="401"/>
      <c r="B29" s="400"/>
      <c r="C29" s="429"/>
      <c r="D29" s="397"/>
      <c r="E29" s="402"/>
    </row>
    <row r="30" spans="1:5" ht="15.75">
      <c r="A30" s="401"/>
      <c r="B30" s="400"/>
      <c r="C30" s="429"/>
      <c r="D30" s="397"/>
      <c r="E30" s="402"/>
    </row>
    <row r="31" spans="1:5" ht="15.75">
      <c r="A31" s="401"/>
      <c r="B31" s="400"/>
      <c r="C31" s="429"/>
      <c r="D31" s="397"/>
      <c r="E31" s="402"/>
    </row>
    <row r="32" spans="1:5" ht="15.75">
      <c r="A32" s="401"/>
      <c r="B32" s="400"/>
      <c r="C32" s="429"/>
      <c r="D32" s="397"/>
      <c r="E32" s="402"/>
    </row>
    <row r="33" spans="1:5" ht="15.75">
      <c r="A33" s="401"/>
      <c r="B33" s="400"/>
      <c r="C33" s="429"/>
      <c r="D33" s="397"/>
      <c r="E33" s="402"/>
    </row>
    <row r="34" spans="1:5" ht="15.75">
      <c r="A34" s="401"/>
      <c r="B34" s="400"/>
      <c r="C34" s="429"/>
      <c r="D34" s="397"/>
      <c r="E34" s="402"/>
    </row>
    <row r="35" spans="1:5" ht="15.75">
      <c r="A35" s="401"/>
      <c r="B35" s="400"/>
      <c r="C35" s="429"/>
      <c r="D35" s="397"/>
      <c r="E35" s="402"/>
    </row>
    <row r="36" spans="1:5" ht="15.75">
      <c r="A36" s="401"/>
      <c r="B36" s="400"/>
      <c r="C36" s="429"/>
      <c r="D36" s="397"/>
      <c r="E36" s="402"/>
    </row>
    <row r="37" spans="1:5" ht="15.75">
      <c r="A37" s="401"/>
      <c r="B37" s="400"/>
      <c r="C37" s="429"/>
      <c r="D37" s="397"/>
      <c r="E37" s="402"/>
    </row>
    <row r="38" spans="1:5" ht="15.75">
      <c r="A38" s="401"/>
      <c r="B38" s="400"/>
      <c r="C38" s="429"/>
      <c r="D38" s="397"/>
      <c r="E38" s="402"/>
    </row>
    <row r="39" spans="1:5" ht="15.75">
      <c r="A39" s="401"/>
      <c r="B39" s="400"/>
      <c r="C39" s="429"/>
      <c r="D39" s="397"/>
      <c r="E39" s="402"/>
    </row>
    <row r="40" spans="1:5" ht="15.75">
      <c r="A40" s="401"/>
      <c r="B40" s="400"/>
      <c r="C40" s="429"/>
      <c r="D40" s="397"/>
      <c r="E40" s="402"/>
    </row>
    <row r="41" spans="1:5" ht="15.75">
      <c r="A41" s="401"/>
      <c r="B41" s="400"/>
      <c r="C41" s="429"/>
      <c r="D41" s="397"/>
      <c r="E41" s="402"/>
    </row>
    <row r="42" spans="1:5" ht="15.75">
      <c r="A42" s="401"/>
      <c r="B42" s="400"/>
      <c r="C42" s="429"/>
      <c r="D42" s="397"/>
      <c r="E42" s="402"/>
    </row>
    <row r="43" spans="1:5" ht="15.75">
      <c r="A43" s="401"/>
      <c r="B43" s="400"/>
      <c r="C43" s="429"/>
      <c r="D43" s="397"/>
      <c r="E43" s="402"/>
    </row>
    <row r="44" spans="1:5" ht="15.75">
      <c r="A44" s="401"/>
      <c r="B44" s="400"/>
      <c r="C44" s="429"/>
      <c r="D44" s="397"/>
      <c r="E44" s="402"/>
    </row>
    <row r="45" spans="1:5" ht="15.75">
      <c r="A45" s="401"/>
      <c r="B45" s="400"/>
      <c r="C45" s="429"/>
      <c r="D45" s="397"/>
      <c r="E45" s="402"/>
    </row>
    <row r="46" spans="1:5" ht="15.75">
      <c r="A46" s="401"/>
      <c r="B46" s="400"/>
      <c r="C46" s="429"/>
      <c r="D46" s="397"/>
      <c r="E46" s="402"/>
    </row>
    <row r="47" spans="1:5" ht="15.75">
      <c r="A47" s="401"/>
      <c r="B47" s="400"/>
      <c r="C47" s="429"/>
      <c r="D47" s="397"/>
      <c r="E47" s="402"/>
    </row>
    <row r="48" spans="1:5" ht="15.75">
      <c r="A48" s="401"/>
      <c r="B48" s="400"/>
      <c r="C48" s="429"/>
      <c r="D48" s="397"/>
      <c r="E48" s="402"/>
    </row>
    <row r="49" spans="1:5" ht="15.75">
      <c r="A49" s="401"/>
      <c r="B49" s="400"/>
      <c r="C49" s="429"/>
      <c r="D49" s="397"/>
      <c r="E49" s="402"/>
    </row>
    <row r="50" spans="1:5" ht="15.75">
      <c r="A50" s="401"/>
      <c r="B50" s="400"/>
      <c r="C50" s="429"/>
      <c r="D50" s="397"/>
      <c r="E50" s="402"/>
    </row>
    <row r="51" spans="1:5" ht="15.75">
      <c r="A51" s="401"/>
      <c r="B51" s="400"/>
      <c r="C51" s="429"/>
      <c r="D51" s="397"/>
      <c r="E51" s="402"/>
    </row>
    <row r="52" spans="1:5" ht="15.75">
      <c r="A52" s="401"/>
      <c r="B52" s="400"/>
      <c r="C52" s="429"/>
      <c r="D52" s="397"/>
      <c r="E52" s="402"/>
    </row>
    <row r="53" spans="1:5" ht="15.75">
      <c r="A53" s="401"/>
      <c r="B53" s="400"/>
      <c r="C53" s="429"/>
      <c r="D53" s="397"/>
      <c r="E53" s="402"/>
    </row>
    <row r="54" spans="1:5" ht="15.75">
      <c r="A54" s="401"/>
      <c r="B54" s="400"/>
      <c r="C54" s="429"/>
      <c r="D54" s="397"/>
      <c r="E54" s="402"/>
    </row>
    <row r="55" spans="1:5" ht="15.75">
      <c r="A55" s="401"/>
      <c r="B55" s="400"/>
      <c r="C55" s="429"/>
      <c r="D55" s="397"/>
      <c r="E55" s="402"/>
    </row>
    <row r="56" spans="1:5" ht="15.75">
      <c r="A56" s="401"/>
      <c r="B56" s="400"/>
      <c r="C56" s="429"/>
      <c r="D56" s="397"/>
      <c r="E56" s="402"/>
    </row>
    <row r="57" spans="1:5" ht="15.75">
      <c r="A57" s="401"/>
      <c r="B57" s="400"/>
      <c r="C57" s="429"/>
      <c r="D57" s="397"/>
      <c r="E57" s="402"/>
    </row>
    <row r="58" spans="1:5" ht="15.75">
      <c r="A58" s="401"/>
      <c r="B58" s="400"/>
      <c r="C58" s="429"/>
      <c r="D58" s="397"/>
      <c r="E58" s="402"/>
    </row>
    <row r="59" spans="1:5" ht="15.75">
      <c r="A59" s="401"/>
      <c r="B59" s="400"/>
      <c r="C59" s="429"/>
      <c r="D59" s="397"/>
      <c r="E59" s="402"/>
    </row>
    <row r="60" spans="1:5" ht="15.75">
      <c r="A60" s="401"/>
      <c r="B60" s="400"/>
      <c r="C60" s="429"/>
      <c r="D60" s="397"/>
      <c r="E60" s="402"/>
    </row>
    <row r="61" spans="1:5" ht="15.75">
      <c r="A61" s="401"/>
      <c r="B61" s="400"/>
      <c r="C61" s="429"/>
      <c r="D61" s="397"/>
      <c r="E61" s="402"/>
    </row>
    <row r="62" spans="1:5" ht="15.75">
      <c r="A62" s="401"/>
      <c r="B62" s="400"/>
      <c r="C62" s="429"/>
      <c r="D62" s="397"/>
      <c r="E62" s="402"/>
    </row>
    <row r="63" spans="1:5" ht="15.75">
      <c r="A63" s="401"/>
      <c r="B63" s="400"/>
      <c r="C63" s="429"/>
      <c r="D63" s="397"/>
      <c r="E63" s="402"/>
    </row>
    <row r="64" spans="1:5" ht="15.75">
      <c r="A64" s="401"/>
      <c r="B64" s="400"/>
      <c r="C64" s="429"/>
      <c r="D64" s="397"/>
      <c r="E64" s="402"/>
    </row>
    <row r="65" spans="1:5" ht="15.75">
      <c r="A65" s="401"/>
      <c r="B65" s="400"/>
      <c r="C65" s="429"/>
      <c r="D65" s="397"/>
      <c r="E65" s="402"/>
    </row>
    <row r="66" spans="1:5" ht="15.75">
      <c r="A66" s="401"/>
      <c r="B66" s="400"/>
      <c r="C66" s="429"/>
      <c r="D66" s="397"/>
      <c r="E66" s="402"/>
    </row>
    <row r="67" spans="1:5" ht="15.75">
      <c r="A67" s="401"/>
      <c r="B67" s="400"/>
      <c r="C67" s="429"/>
      <c r="D67" s="397"/>
      <c r="E67" s="402"/>
    </row>
    <row r="68" spans="1:5" ht="15.75">
      <c r="A68" s="401"/>
      <c r="B68" s="400"/>
      <c r="C68" s="429"/>
      <c r="D68" s="397"/>
      <c r="E68" s="402"/>
    </row>
    <row r="69" spans="1:5" ht="15.75">
      <c r="A69" s="401"/>
      <c r="B69" s="400"/>
      <c r="C69" s="429"/>
      <c r="D69" s="397"/>
      <c r="E69" s="402"/>
    </row>
    <row r="70" spans="1:5" ht="15.75">
      <c r="A70" s="401"/>
      <c r="B70" s="400"/>
      <c r="C70" s="429"/>
      <c r="D70" s="397"/>
      <c r="E70" s="402"/>
    </row>
    <row r="71" spans="1:5" ht="15.75">
      <c r="A71" s="401"/>
      <c r="B71" s="400"/>
      <c r="C71" s="429"/>
      <c r="D71" s="397"/>
      <c r="E71" s="402"/>
    </row>
    <row r="72" spans="1:5" ht="15.75">
      <c r="A72" s="401"/>
      <c r="B72" s="400"/>
      <c r="C72" s="429"/>
      <c r="D72" s="397"/>
      <c r="E72" s="402"/>
    </row>
    <row r="73" spans="1:5" ht="15.75">
      <c r="A73" s="401"/>
      <c r="B73" s="400"/>
      <c r="C73" s="429"/>
      <c r="D73" s="397"/>
      <c r="E73" s="402"/>
    </row>
    <row r="74" spans="1:5" ht="15.75">
      <c r="A74" s="401"/>
      <c r="B74" s="400"/>
      <c r="C74" s="429"/>
      <c r="D74" s="397"/>
      <c r="E74" s="402"/>
    </row>
    <row r="75" spans="1:5" ht="15.75">
      <c r="A75" s="401"/>
      <c r="B75" s="400"/>
      <c r="C75" s="429"/>
      <c r="D75" s="397"/>
      <c r="E75" s="402"/>
    </row>
    <row r="76" spans="1:5" ht="15.75">
      <c r="A76" s="401"/>
      <c r="B76" s="400"/>
      <c r="C76" s="429"/>
      <c r="D76" s="397"/>
      <c r="E76" s="402"/>
    </row>
    <row r="77" spans="1:5" ht="15.75">
      <c r="A77" s="401"/>
      <c r="B77" s="400"/>
      <c r="C77" s="429"/>
      <c r="D77" s="397"/>
      <c r="E77" s="402"/>
    </row>
    <row r="78" spans="1:5" ht="15.75">
      <c r="A78" s="401"/>
      <c r="B78" s="400"/>
      <c r="C78" s="429"/>
      <c r="D78" s="397"/>
      <c r="E78" s="402"/>
    </row>
    <row r="79" spans="1:5" ht="15.75">
      <c r="A79" s="401"/>
      <c r="B79" s="400"/>
      <c r="C79" s="429"/>
      <c r="D79" s="397"/>
      <c r="E79" s="402"/>
    </row>
    <row r="80" spans="1:5" ht="15.75">
      <c r="A80" s="401"/>
      <c r="B80" s="400"/>
      <c r="C80" s="429"/>
      <c r="D80" s="397"/>
      <c r="E80" s="402"/>
    </row>
    <row r="81" spans="1:5" ht="15.75">
      <c r="A81" s="401"/>
      <c r="B81" s="400"/>
      <c r="C81" s="429"/>
      <c r="D81" s="397"/>
      <c r="E81" s="402"/>
    </row>
    <row r="82" spans="1:5" ht="15.75">
      <c r="A82" s="401"/>
      <c r="B82" s="400"/>
      <c r="C82" s="429"/>
      <c r="D82" s="397"/>
      <c r="E82" s="402"/>
    </row>
    <row r="83" spans="1:5" ht="15.75">
      <c r="A83" s="401"/>
      <c r="B83" s="400"/>
      <c r="C83" s="429"/>
      <c r="D83" s="397"/>
      <c r="E83" s="402"/>
    </row>
    <row r="84" spans="1:5" ht="15.75">
      <c r="A84" s="401"/>
      <c r="B84" s="400"/>
      <c r="C84" s="429"/>
      <c r="D84" s="397"/>
      <c r="E84" s="402"/>
    </row>
    <row r="85" spans="1:5" ht="15.75">
      <c r="A85" s="401"/>
      <c r="B85" s="400"/>
      <c r="C85" s="429"/>
      <c r="D85" s="397"/>
      <c r="E85" s="402"/>
    </row>
    <row r="86" spans="1:5" ht="15.75">
      <c r="A86" s="401"/>
      <c r="B86" s="400"/>
      <c r="C86" s="429"/>
      <c r="D86" s="397"/>
      <c r="E86" s="402"/>
    </row>
    <row r="87" spans="1:5" ht="15.75">
      <c r="A87" s="401"/>
      <c r="B87" s="400"/>
      <c r="C87" s="429"/>
      <c r="D87" s="397"/>
      <c r="E87" s="402"/>
    </row>
    <row r="88" spans="1:5" ht="15.75">
      <c r="A88" s="401"/>
      <c r="B88" s="400"/>
      <c r="C88" s="429"/>
      <c r="D88" s="397"/>
      <c r="E88" s="402"/>
    </row>
    <row r="89" spans="1:5" ht="15.75">
      <c r="A89" s="401"/>
      <c r="B89" s="400"/>
      <c r="C89" s="429"/>
      <c r="D89" s="397"/>
      <c r="E89" s="402"/>
    </row>
    <row r="90" spans="1:5" ht="15.75">
      <c r="A90" s="401"/>
      <c r="B90" s="400"/>
      <c r="C90" s="429"/>
      <c r="D90" s="397"/>
      <c r="E90" s="402"/>
    </row>
    <row r="91" spans="1:5" ht="15.75">
      <c r="A91" s="401"/>
      <c r="B91" s="400"/>
      <c r="C91" s="429"/>
      <c r="D91" s="397"/>
      <c r="E91" s="402"/>
    </row>
    <row r="92" spans="1:5" ht="15.75">
      <c r="A92" s="401"/>
      <c r="B92" s="400"/>
      <c r="C92" s="429"/>
      <c r="D92" s="397"/>
      <c r="E92" s="402"/>
    </row>
    <row r="93" spans="1:5" ht="15.75">
      <c r="A93" s="401"/>
      <c r="B93" s="400"/>
      <c r="C93" s="429"/>
      <c r="D93" s="397"/>
      <c r="E93" s="402"/>
    </row>
    <row r="94" spans="1:5" ht="15.75">
      <c r="A94" s="401"/>
      <c r="B94" s="400"/>
      <c r="C94" s="429"/>
      <c r="D94" s="397"/>
      <c r="E94" s="402"/>
    </row>
    <row r="95" spans="1:5" ht="15.75">
      <c r="A95" s="401"/>
      <c r="B95" s="400"/>
      <c r="C95" s="429"/>
      <c r="D95" s="397"/>
      <c r="E95" s="402"/>
    </row>
    <row r="96" spans="1:5" ht="15.75">
      <c r="A96" s="401"/>
      <c r="B96" s="400"/>
      <c r="C96" s="429"/>
      <c r="D96" s="397"/>
      <c r="E96" s="402"/>
    </row>
    <row r="97" spans="1:5" ht="15.75">
      <c r="A97" s="401"/>
      <c r="B97" s="400"/>
      <c r="C97" s="429"/>
      <c r="D97" s="397"/>
      <c r="E97" s="402"/>
    </row>
    <row r="98" spans="1:5" ht="15.75">
      <c r="A98" s="401"/>
      <c r="B98" s="400"/>
      <c r="C98" s="429"/>
      <c r="D98" s="397"/>
      <c r="E98" s="402"/>
    </row>
    <row r="99" spans="1:5" ht="15.75">
      <c r="A99" s="401"/>
      <c r="B99" s="400"/>
      <c r="C99" s="429"/>
      <c r="D99" s="397"/>
      <c r="E99" s="402"/>
    </row>
    <row r="100" spans="1:5" ht="15.75">
      <c r="A100" s="401"/>
      <c r="B100" s="400"/>
      <c r="C100" s="429"/>
      <c r="D100" s="397"/>
      <c r="E100" s="402"/>
    </row>
    <row r="101" spans="1:5" ht="15.75">
      <c r="A101" s="401"/>
      <c r="B101" s="400"/>
      <c r="C101" s="429"/>
      <c r="D101" s="397"/>
      <c r="E101" s="402"/>
    </row>
    <row r="102" spans="1:5" ht="15.75">
      <c r="A102" s="401"/>
      <c r="B102" s="400"/>
      <c r="C102" s="429"/>
      <c r="D102" s="397"/>
      <c r="E102" s="402"/>
    </row>
    <row r="103" spans="1:5" ht="15.75">
      <c r="A103" s="401"/>
      <c r="B103" s="400"/>
      <c r="C103" s="429"/>
      <c r="D103" s="397"/>
      <c r="E103" s="402"/>
    </row>
    <row r="104" spans="1:5" ht="15.75">
      <c r="A104" s="401"/>
      <c r="B104" s="400"/>
      <c r="C104" s="429"/>
      <c r="D104" s="397"/>
      <c r="E104" s="402"/>
    </row>
    <row r="105" spans="1:5" ht="15.75">
      <c r="A105" s="401"/>
      <c r="B105" s="400"/>
      <c r="C105" s="429"/>
      <c r="D105" s="397"/>
      <c r="E105" s="402"/>
    </row>
    <row r="106" spans="1:5" ht="15.75">
      <c r="A106" s="401"/>
      <c r="B106" s="400"/>
      <c r="C106" s="429"/>
      <c r="D106" s="397"/>
      <c r="E106" s="402"/>
    </row>
    <row r="107" spans="1:5" ht="15.75">
      <c r="A107" s="401"/>
      <c r="B107" s="400"/>
      <c r="C107" s="429"/>
      <c r="D107" s="397"/>
      <c r="E107" s="402"/>
    </row>
    <row r="108" spans="1:5" ht="15.75">
      <c r="A108" s="401"/>
      <c r="B108" s="400"/>
      <c r="C108" s="429"/>
      <c r="D108" s="397"/>
      <c r="E108" s="402"/>
    </row>
    <row r="109" spans="1:5" ht="15.75">
      <c r="A109" s="401"/>
      <c r="B109" s="400"/>
      <c r="C109" s="429"/>
      <c r="D109" s="397"/>
      <c r="E109" s="402"/>
    </row>
    <row r="110" spans="1:5" ht="15.75">
      <c r="A110" s="401"/>
      <c r="B110" s="400"/>
      <c r="C110" s="429"/>
      <c r="D110" s="397"/>
      <c r="E110" s="402"/>
    </row>
    <row r="111" spans="1:5" ht="15.75">
      <c r="A111" s="401"/>
      <c r="B111" s="400"/>
      <c r="C111" s="429"/>
      <c r="D111" s="397"/>
      <c r="E111" s="402"/>
    </row>
    <row r="112" spans="1:5">
      <c r="A112" s="401"/>
      <c r="B112" s="400"/>
      <c r="C112" s="429"/>
      <c r="D112" s="397"/>
      <c r="E112" s="397"/>
    </row>
    <row r="113" spans="1:5">
      <c r="A113" s="401"/>
      <c r="B113" s="400"/>
      <c r="C113" s="429"/>
      <c r="D113" s="397"/>
      <c r="E113" s="397"/>
    </row>
    <row r="114" spans="1:5">
      <c r="A114" s="401"/>
      <c r="B114" s="400"/>
      <c r="C114" s="429"/>
      <c r="D114" s="397"/>
      <c r="E114" s="397"/>
    </row>
    <row r="115" spans="1:5">
      <c r="A115" s="401"/>
      <c r="B115" s="400"/>
      <c r="C115" s="429"/>
      <c r="D115" s="397"/>
      <c r="E115" s="397"/>
    </row>
    <row r="116" spans="1:5">
      <c r="A116" s="401"/>
      <c r="B116" s="400"/>
      <c r="C116" s="429"/>
      <c r="D116" s="397"/>
      <c r="E116" s="397"/>
    </row>
    <row r="117" spans="1:5">
      <c r="A117" s="401"/>
      <c r="B117" s="400"/>
      <c r="C117" s="429"/>
      <c r="D117" s="397"/>
      <c r="E117" s="397"/>
    </row>
    <row r="118" spans="1:5">
      <c r="A118" s="401"/>
      <c r="B118" s="400"/>
      <c r="C118" s="429"/>
      <c r="D118" s="397"/>
      <c r="E118" s="397"/>
    </row>
    <row r="119" spans="1:5">
      <c r="A119" s="401"/>
      <c r="B119" s="400"/>
      <c r="C119" s="429"/>
      <c r="D119" s="397"/>
      <c r="E119" s="397"/>
    </row>
    <row r="120" spans="1:5">
      <c r="A120" s="401"/>
      <c r="B120" s="400"/>
      <c r="C120" s="429"/>
      <c r="D120" s="397"/>
      <c r="E120" s="397"/>
    </row>
    <row r="121" spans="1:5">
      <c r="A121" s="401"/>
      <c r="B121" s="400"/>
      <c r="C121" s="429"/>
      <c r="D121" s="397"/>
      <c r="E121" s="397"/>
    </row>
    <row r="122" spans="1:5">
      <c r="A122" s="401"/>
      <c r="B122" s="400"/>
      <c r="C122" s="429"/>
      <c r="D122" s="397"/>
      <c r="E122" s="397"/>
    </row>
    <row r="123" spans="1:5">
      <c r="A123" s="401"/>
      <c r="B123" s="400"/>
      <c r="C123" s="429"/>
      <c r="D123" s="397"/>
      <c r="E123" s="397"/>
    </row>
    <row r="124" spans="1:5">
      <c r="A124" s="401"/>
      <c r="B124" s="400"/>
      <c r="C124" s="429"/>
      <c r="D124" s="397"/>
      <c r="E124" s="397"/>
    </row>
    <row r="125" spans="1:5">
      <c r="A125" s="401"/>
      <c r="B125" s="400"/>
      <c r="C125" s="429"/>
      <c r="D125" s="397"/>
      <c r="E125" s="397"/>
    </row>
    <row r="126" spans="1:5">
      <c r="A126" s="401"/>
      <c r="B126" s="400"/>
      <c r="C126" s="429"/>
      <c r="D126" s="397"/>
      <c r="E126" s="397"/>
    </row>
    <row r="127" spans="1:5">
      <c r="A127" s="401"/>
      <c r="B127" s="400"/>
      <c r="C127" s="429"/>
      <c r="D127" s="397"/>
      <c r="E127" s="397"/>
    </row>
    <row r="128" spans="1:5">
      <c r="A128" s="401"/>
      <c r="B128" s="400"/>
      <c r="C128" s="429"/>
      <c r="D128" s="397"/>
      <c r="E128" s="397"/>
    </row>
    <row r="129" spans="1:5">
      <c r="A129" s="401"/>
      <c r="B129" s="400"/>
      <c r="C129" s="429"/>
      <c r="D129" s="397"/>
      <c r="E129" s="397"/>
    </row>
    <row r="130" spans="1:5">
      <c r="A130" s="401"/>
      <c r="B130" s="400"/>
      <c r="C130" s="429"/>
      <c r="D130" s="397"/>
      <c r="E130" s="397"/>
    </row>
    <row r="131" spans="1:5">
      <c r="A131" s="401"/>
      <c r="B131" s="400"/>
      <c r="C131" s="429"/>
      <c r="D131" s="397"/>
      <c r="E131" s="397"/>
    </row>
    <row r="132" spans="1:5">
      <c r="A132" s="401"/>
      <c r="B132" s="400"/>
      <c r="C132" s="429"/>
      <c r="D132" s="397"/>
      <c r="E132" s="397"/>
    </row>
    <row r="133" spans="1:5">
      <c r="A133" s="401"/>
      <c r="B133" s="400"/>
      <c r="C133" s="429"/>
      <c r="D133" s="397"/>
      <c r="E133" s="397"/>
    </row>
    <row r="134" spans="1:5">
      <c r="A134" s="401"/>
      <c r="B134" s="400"/>
      <c r="C134" s="429"/>
      <c r="D134" s="397"/>
      <c r="E134" s="397"/>
    </row>
    <row r="135" spans="1:5">
      <c r="A135" s="401"/>
      <c r="B135" s="400"/>
      <c r="C135" s="429"/>
      <c r="D135" s="397"/>
      <c r="E135" s="397"/>
    </row>
    <row r="136" spans="1:5">
      <c r="A136" s="401"/>
      <c r="B136" s="400"/>
      <c r="C136" s="429"/>
      <c r="D136" s="397"/>
      <c r="E136" s="397"/>
    </row>
    <row r="137" spans="1:5">
      <c r="A137" s="401"/>
      <c r="B137" s="400"/>
      <c r="C137" s="429"/>
      <c r="D137" s="397"/>
      <c r="E137" s="397"/>
    </row>
    <row r="138" spans="1:5">
      <c r="A138" s="401"/>
      <c r="B138" s="400"/>
      <c r="C138" s="429"/>
      <c r="D138" s="397"/>
      <c r="E138" s="397"/>
    </row>
    <row r="139" spans="1:5">
      <c r="A139" s="401"/>
      <c r="B139" s="400"/>
      <c r="C139" s="429"/>
      <c r="D139" s="397"/>
      <c r="E139" s="397"/>
    </row>
    <row r="140" spans="1:5">
      <c r="A140" s="401"/>
      <c r="B140" s="400"/>
      <c r="C140" s="429"/>
      <c r="D140" s="397"/>
      <c r="E140" s="397"/>
    </row>
    <row r="141" spans="1:5">
      <c r="A141" s="401"/>
      <c r="B141" s="400"/>
      <c r="C141" s="429"/>
      <c r="D141" s="397"/>
      <c r="E141" s="397"/>
    </row>
    <row r="142" spans="1:5">
      <c r="A142" s="401"/>
      <c r="B142" s="400"/>
      <c r="C142" s="429"/>
      <c r="D142" s="397"/>
      <c r="E142" s="397"/>
    </row>
    <row r="143" spans="1:5">
      <c r="A143" s="401"/>
      <c r="B143" s="400"/>
      <c r="C143" s="429"/>
      <c r="D143" s="397"/>
      <c r="E143" s="397"/>
    </row>
    <row r="144" spans="1:5">
      <c r="A144" s="401"/>
      <c r="B144" s="400"/>
      <c r="C144" s="429"/>
      <c r="D144" s="397"/>
      <c r="E144" s="397"/>
    </row>
    <row r="145" spans="1:5">
      <c r="A145" s="401"/>
      <c r="B145" s="400"/>
      <c r="C145" s="429"/>
      <c r="D145" s="397"/>
      <c r="E145" s="397"/>
    </row>
    <row r="146" spans="1:5">
      <c r="A146" s="401"/>
      <c r="B146" s="400"/>
      <c r="C146" s="429"/>
      <c r="D146" s="397"/>
      <c r="E146" s="397"/>
    </row>
    <row r="147" spans="1:5">
      <c r="A147" s="401"/>
      <c r="B147" s="400"/>
      <c r="C147" s="429"/>
      <c r="D147" s="397"/>
      <c r="E147" s="397"/>
    </row>
    <row r="148" spans="1:5">
      <c r="A148" s="401"/>
      <c r="B148" s="400"/>
      <c r="C148" s="429"/>
      <c r="D148" s="397"/>
      <c r="E148" s="397"/>
    </row>
    <row r="149" spans="1:5">
      <c r="A149" s="401"/>
      <c r="B149" s="400"/>
      <c r="C149" s="429"/>
      <c r="D149" s="397"/>
      <c r="E149" s="397"/>
    </row>
    <row r="150" spans="1:5">
      <c r="A150" s="401"/>
      <c r="B150" s="400"/>
      <c r="C150" s="429"/>
      <c r="D150" s="397"/>
      <c r="E150" s="397"/>
    </row>
    <row r="151" spans="1:5">
      <c r="A151" s="401"/>
      <c r="B151" s="400"/>
      <c r="C151" s="429"/>
      <c r="D151" s="397"/>
      <c r="E151" s="397"/>
    </row>
    <row r="152" spans="1:5">
      <c r="A152" s="401"/>
      <c r="B152" s="400"/>
      <c r="C152" s="429"/>
      <c r="D152" s="397"/>
      <c r="E152" s="397"/>
    </row>
    <row r="153" spans="1:5">
      <c r="A153" s="401"/>
      <c r="B153" s="400"/>
      <c r="C153" s="429"/>
      <c r="D153" s="397"/>
      <c r="E153" s="397"/>
    </row>
    <row r="154" spans="1:5">
      <c r="A154" s="401"/>
      <c r="B154" s="400"/>
      <c r="C154" s="429"/>
      <c r="D154" s="397"/>
      <c r="E154" s="397"/>
    </row>
    <row r="155" spans="1:5">
      <c r="A155" s="401"/>
      <c r="B155" s="400"/>
      <c r="C155" s="429"/>
      <c r="D155" s="397"/>
      <c r="E155" s="397"/>
    </row>
    <row r="156" spans="1:5">
      <c r="A156" s="401"/>
      <c r="B156" s="400"/>
      <c r="C156" s="429"/>
      <c r="D156" s="397"/>
      <c r="E156" s="397"/>
    </row>
    <row r="157" spans="1:5">
      <c r="A157" s="401"/>
      <c r="B157" s="400"/>
      <c r="C157" s="429"/>
      <c r="D157" s="397"/>
      <c r="E157" s="397"/>
    </row>
    <row r="158" spans="1:5">
      <c r="A158" s="401"/>
      <c r="B158" s="400"/>
      <c r="C158" s="429"/>
      <c r="D158" s="397"/>
      <c r="E158" s="397"/>
    </row>
    <row r="159" spans="1:5">
      <c r="A159" s="401"/>
      <c r="B159" s="400"/>
      <c r="C159" s="429"/>
      <c r="D159" s="397"/>
      <c r="E159" s="397"/>
    </row>
    <row r="160" spans="1:5">
      <c r="A160" s="401"/>
      <c r="B160" s="400"/>
      <c r="C160" s="429"/>
      <c r="D160" s="397"/>
      <c r="E160" s="397"/>
    </row>
    <row r="161" spans="1:5">
      <c r="A161" s="401"/>
      <c r="B161" s="400"/>
      <c r="C161" s="429"/>
      <c r="D161" s="397"/>
      <c r="E161" s="397"/>
    </row>
    <row r="162" spans="1:5">
      <c r="A162" s="401"/>
      <c r="B162" s="400"/>
      <c r="C162" s="429"/>
      <c r="D162" s="397"/>
      <c r="E162" s="397"/>
    </row>
    <row r="163" spans="1:5">
      <c r="A163" s="401"/>
      <c r="B163" s="400"/>
      <c r="C163" s="429"/>
      <c r="D163" s="397"/>
      <c r="E163" s="397"/>
    </row>
    <row r="164" spans="1:5">
      <c r="A164" s="401"/>
      <c r="B164" s="400"/>
      <c r="C164" s="429"/>
      <c r="D164" s="397"/>
      <c r="E164" s="397"/>
    </row>
    <row r="165" spans="1:5">
      <c r="A165" s="401"/>
      <c r="B165" s="400"/>
      <c r="C165" s="429"/>
      <c r="D165" s="397"/>
      <c r="E165" s="397"/>
    </row>
    <row r="166" spans="1:5">
      <c r="A166" s="401"/>
      <c r="B166" s="400"/>
      <c r="C166" s="429"/>
      <c r="D166" s="397"/>
      <c r="E166" s="397"/>
    </row>
    <row r="167" spans="1:5">
      <c r="A167" s="401"/>
      <c r="B167" s="400"/>
      <c r="C167" s="429"/>
      <c r="D167" s="397"/>
      <c r="E167" s="397"/>
    </row>
    <row r="168" spans="1:5">
      <c r="A168" s="401"/>
      <c r="B168" s="400"/>
      <c r="C168" s="429"/>
      <c r="D168" s="397"/>
      <c r="E168" s="397"/>
    </row>
    <row r="169" spans="1:5">
      <c r="A169" s="401"/>
      <c r="B169" s="400"/>
      <c r="C169" s="429"/>
      <c r="D169" s="397"/>
      <c r="E169" s="397"/>
    </row>
    <row r="170" spans="1:5">
      <c r="A170" s="401"/>
      <c r="B170" s="400"/>
      <c r="C170" s="429"/>
      <c r="D170" s="397"/>
      <c r="E170" s="397"/>
    </row>
    <row r="171" spans="1:5">
      <c r="A171" s="401"/>
      <c r="B171" s="400"/>
      <c r="C171" s="429"/>
      <c r="D171" s="397"/>
      <c r="E171" s="397"/>
    </row>
    <row r="172" spans="1:5">
      <c r="A172" s="401"/>
      <c r="B172" s="400"/>
      <c r="C172" s="429"/>
      <c r="D172" s="397"/>
      <c r="E172" s="397"/>
    </row>
    <row r="173" spans="1:5">
      <c r="A173" s="401"/>
      <c r="B173" s="400"/>
      <c r="C173" s="429"/>
      <c r="D173" s="397"/>
      <c r="E173" s="397"/>
    </row>
    <row r="174" spans="1:5">
      <c r="A174" s="401"/>
      <c r="B174" s="400"/>
      <c r="C174" s="429"/>
      <c r="D174" s="397"/>
      <c r="E174" s="397"/>
    </row>
    <row r="175" spans="1:5">
      <c r="A175" s="401"/>
      <c r="B175" s="400"/>
      <c r="C175" s="429"/>
      <c r="D175" s="397"/>
      <c r="E175" s="397"/>
    </row>
    <row r="176" spans="1:5">
      <c r="A176" s="401"/>
      <c r="B176" s="400"/>
      <c r="C176" s="429"/>
      <c r="D176" s="397"/>
      <c r="E176" s="397"/>
    </row>
    <row r="177" spans="1:5">
      <c r="A177" s="401"/>
      <c r="B177" s="400"/>
      <c r="C177" s="429"/>
      <c r="D177" s="397"/>
      <c r="E177" s="397"/>
    </row>
    <row r="178" spans="1:5">
      <c r="A178" s="401"/>
      <c r="B178" s="400"/>
      <c r="C178" s="429"/>
      <c r="D178" s="397"/>
      <c r="E178" s="397"/>
    </row>
    <row r="179" spans="1:5">
      <c r="A179" s="401"/>
      <c r="B179" s="400"/>
      <c r="C179" s="429"/>
      <c r="D179" s="397"/>
      <c r="E179" s="397"/>
    </row>
    <row r="180" spans="1:5">
      <c r="A180" s="401"/>
      <c r="B180" s="400"/>
      <c r="C180" s="429"/>
      <c r="D180" s="397"/>
      <c r="E180" s="397"/>
    </row>
    <row r="181" spans="1:5">
      <c r="A181" s="401"/>
      <c r="B181" s="400"/>
      <c r="C181" s="429"/>
      <c r="D181" s="397"/>
      <c r="E181" s="397"/>
    </row>
    <row r="182" spans="1:5">
      <c r="A182" s="401"/>
      <c r="B182" s="400"/>
      <c r="C182" s="429"/>
      <c r="D182" s="397"/>
      <c r="E182" s="397"/>
    </row>
    <row r="183" spans="1:5">
      <c r="A183" s="401"/>
      <c r="B183" s="400"/>
      <c r="C183" s="429"/>
      <c r="D183" s="397"/>
      <c r="E183" s="397"/>
    </row>
    <row r="184" spans="1:5">
      <c r="A184" s="401"/>
      <c r="B184" s="400"/>
      <c r="C184" s="429"/>
      <c r="D184" s="397"/>
      <c r="E184" s="397"/>
    </row>
    <row r="185" spans="1:5">
      <c r="A185" s="401"/>
      <c r="B185" s="400"/>
      <c r="C185" s="429"/>
      <c r="D185" s="397"/>
      <c r="E185" s="397"/>
    </row>
    <row r="186" spans="1:5">
      <c r="A186" s="401"/>
      <c r="B186" s="400"/>
      <c r="C186" s="429"/>
      <c r="D186" s="397"/>
      <c r="E186" s="397"/>
    </row>
    <row r="187" spans="1:5">
      <c r="A187" s="401"/>
      <c r="B187" s="400"/>
      <c r="C187" s="429"/>
      <c r="D187" s="397"/>
      <c r="E187" s="397"/>
    </row>
    <row r="188" spans="1:5">
      <c r="A188" s="401"/>
      <c r="B188" s="400"/>
      <c r="C188" s="429"/>
      <c r="D188" s="397"/>
      <c r="E188" s="397"/>
    </row>
    <row r="189" spans="1:5">
      <c r="A189" s="401"/>
      <c r="B189" s="400"/>
      <c r="C189" s="429"/>
      <c r="D189" s="397"/>
      <c r="E189" s="397"/>
    </row>
    <row r="190" spans="1:5">
      <c r="A190" s="401"/>
      <c r="B190" s="400"/>
      <c r="C190" s="429"/>
      <c r="D190" s="397"/>
      <c r="E190" s="397"/>
    </row>
    <row r="191" spans="1:5">
      <c r="A191" s="401"/>
      <c r="B191" s="400"/>
      <c r="C191" s="429"/>
      <c r="D191" s="397"/>
      <c r="E191" s="397"/>
    </row>
    <row r="192" spans="1:5">
      <c r="A192" s="401"/>
      <c r="B192" s="400"/>
      <c r="C192" s="429"/>
      <c r="D192" s="397"/>
      <c r="E192" s="397"/>
    </row>
    <row r="193" spans="1:5">
      <c r="A193" s="401"/>
      <c r="B193" s="400"/>
      <c r="C193" s="429"/>
      <c r="D193" s="397"/>
      <c r="E193" s="397"/>
    </row>
    <row r="194" spans="1:5">
      <c r="A194" s="401"/>
      <c r="B194" s="400"/>
      <c r="C194" s="429"/>
      <c r="D194" s="397"/>
      <c r="E194" s="397"/>
    </row>
    <row r="195" spans="1:5">
      <c r="A195" s="401"/>
      <c r="B195" s="400"/>
      <c r="C195" s="429"/>
      <c r="D195" s="397"/>
      <c r="E195" s="397"/>
    </row>
    <row r="196" spans="1:5">
      <c r="A196" s="401"/>
      <c r="B196" s="400"/>
      <c r="C196" s="429"/>
      <c r="D196" s="397"/>
      <c r="E196" s="397"/>
    </row>
    <row r="197" spans="1:5">
      <c r="A197" s="401"/>
      <c r="B197" s="400"/>
      <c r="C197" s="429"/>
      <c r="D197" s="397"/>
      <c r="E197" s="397"/>
    </row>
    <row r="198" spans="1:5">
      <c r="A198" s="401"/>
      <c r="B198" s="400"/>
      <c r="C198" s="429"/>
      <c r="D198" s="397"/>
      <c r="E198" s="397"/>
    </row>
    <row r="199" spans="1:5">
      <c r="A199" s="401"/>
      <c r="B199" s="400"/>
      <c r="C199" s="429"/>
      <c r="D199" s="397"/>
      <c r="E199" s="397"/>
    </row>
    <row r="200" spans="1:5">
      <c r="A200" s="401"/>
      <c r="B200" s="400"/>
      <c r="C200" s="429"/>
      <c r="D200" s="397"/>
      <c r="E200" s="397"/>
    </row>
    <row r="201" spans="1:5">
      <c r="A201" s="401"/>
      <c r="B201" s="400"/>
      <c r="C201" s="429"/>
      <c r="D201" s="397"/>
      <c r="E201" s="397"/>
    </row>
    <row r="202" spans="1:5">
      <c r="A202" s="401"/>
      <c r="B202" s="400"/>
      <c r="C202" s="429"/>
      <c r="D202" s="397"/>
      <c r="E202" s="397"/>
    </row>
    <row r="203" spans="1:5">
      <c r="A203" s="401"/>
      <c r="B203" s="400"/>
      <c r="C203" s="429"/>
      <c r="D203" s="397"/>
      <c r="E203" s="397"/>
    </row>
    <row r="204" spans="1:5">
      <c r="A204" s="401"/>
      <c r="B204" s="400"/>
      <c r="C204" s="429"/>
      <c r="D204" s="397"/>
      <c r="E204" s="397"/>
    </row>
    <row r="205" spans="1:5">
      <c r="A205" s="401"/>
      <c r="B205" s="400"/>
      <c r="C205" s="429"/>
      <c r="D205" s="397"/>
      <c r="E205" s="397"/>
    </row>
    <row r="206" spans="1:5">
      <c r="A206" s="401"/>
      <c r="B206" s="400"/>
      <c r="C206" s="429"/>
      <c r="D206" s="397"/>
      <c r="E206" s="397"/>
    </row>
    <row r="207" spans="1:5">
      <c r="A207" s="401"/>
      <c r="B207" s="400"/>
      <c r="C207" s="429"/>
      <c r="D207" s="397"/>
      <c r="E207" s="397"/>
    </row>
    <row r="208" spans="1:5">
      <c r="A208" s="401"/>
      <c r="B208" s="400"/>
      <c r="C208" s="429"/>
      <c r="D208" s="397"/>
      <c r="E208" s="397"/>
    </row>
    <row r="209" spans="1:5">
      <c r="A209" s="401"/>
      <c r="B209" s="400"/>
      <c r="C209" s="429"/>
      <c r="D209" s="397"/>
      <c r="E209" s="397"/>
    </row>
    <row r="210" spans="1:5">
      <c r="A210" s="401"/>
      <c r="B210" s="400"/>
      <c r="C210" s="429"/>
      <c r="D210" s="397"/>
      <c r="E210" s="397"/>
    </row>
    <row r="211" spans="1:5">
      <c r="A211" s="401"/>
      <c r="B211" s="400"/>
      <c r="C211" s="429"/>
      <c r="D211" s="397"/>
      <c r="E211" s="397"/>
    </row>
    <row r="212" spans="1:5">
      <c r="A212" s="401"/>
      <c r="B212" s="400"/>
      <c r="C212" s="429"/>
      <c r="D212" s="397"/>
      <c r="E212" s="397"/>
    </row>
    <row r="213" spans="1:5">
      <c r="A213" s="401"/>
      <c r="B213" s="400"/>
      <c r="C213" s="429"/>
      <c r="D213" s="397"/>
      <c r="E213" s="397"/>
    </row>
    <row r="214" spans="1:5">
      <c r="A214" s="401"/>
      <c r="B214" s="400"/>
      <c r="C214" s="429"/>
      <c r="D214" s="397"/>
      <c r="E214" s="397"/>
    </row>
    <row r="215" spans="1:5">
      <c r="A215" s="401"/>
      <c r="B215" s="400"/>
      <c r="C215" s="429"/>
      <c r="D215" s="397"/>
      <c r="E215" s="397"/>
    </row>
    <row r="216" spans="1:5">
      <c r="A216" s="401"/>
      <c r="B216" s="400"/>
      <c r="C216" s="429"/>
      <c r="D216" s="397"/>
      <c r="E216" s="397"/>
    </row>
    <row r="217" spans="1:5">
      <c r="A217" s="401"/>
      <c r="B217" s="400"/>
      <c r="C217" s="429"/>
      <c r="D217" s="397"/>
      <c r="E217" s="397"/>
    </row>
    <row r="218" spans="1:5">
      <c r="A218" s="401"/>
      <c r="B218" s="400"/>
      <c r="C218" s="429"/>
      <c r="D218" s="397"/>
      <c r="E218" s="397"/>
    </row>
    <row r="219" spans="1:5">
      <c r="A219" s="401"/>
      <c r="B219" s="400"/>
      <c r="C219" s="429"/>
      <c r="D219" s="397"/>
      <c r="E219" s="397"/>
    </row>
    <row r="220" spans="1:5">
      <c r="A220" s="401"/>
      <c r="B220" s="400"/>
      <c r="C220" s="429"/>
      <c r="D220" s="397"/>
      <c r="E220" s="397"/>
    </row>
    <row r="221" spans="1:5">
      <c r="A221" s="401"/>
      <c r="B221" s="400"/>
      <c r="C221" s="429"/>
      <c r="D221" s="397"/>
      <c r="E221" s="397"/>
    </row>
    <row r="222" spans="1:5">
      <c r="A222" s="401"/>
      <c r="B222" s="400"/>
      <c r="C222" s="429"/>
      <c r="D222" s="397"/>
      <c r="E222" s="397"/>
    </row>
    <row r="223" spans="1:5">
      <c r="A223" s="401"/>
      <c r="B223" s="400"/>
      <c r="C223" s="429"/>
      <c r="D223" s="397"/>
      <c r="E223" s="397"/>
    </row>
    <row r="224" spans="1:5">
      <c r="A224" s="401"/>
      <c r="B224" s="400"/>
      <c r="C224" s="429"/>
      <c r="D224" s="397"/>
      <c r="E224" s="397"/>
    </row>
    <row r="225" spans="1:5">
      <c r="A225" s="401"/>
      <c r="B225" s="400"/>
      <c r="C225" s="429"/>
      <c r="D225" s="397"/>
      <c r="E225" s="397"/>
    </row>
    <row r="226" spans="1:5">
      <c r="A226" s="401"/>
      <c r="B226" s="400"/>
      <c r="C226" s="429"/>
      <c r="D226" s="397"/>
      <c r="E226" s="397"/>
    </row>
    <row r="227" spans="1:5">
      <c r="A227" s="401"/>
      <c r="B227" s="400"/>
      <c r="C227" s="429"/>
      <c r="D227" s="397"/>
      <c r="E227" s="397"/>
    </row>
    <row r="228" spans="1:5">
      <c r="A228" s="401"/>
      <c r="B228" s="400"/>
      <c r="C228" s="429"/>
      <c r="D228" s="397"/>
      <c r="E228" s="397"/>
    </row>
    <row r="229" spans="1:5">
      <c r="A229" s="401"/>
      <c r="B229" s="400"/>
      <c r="C229" s="429"/>
      <c r="D229" s="397"/>
      <c r="E229" s="397"/>
    </row>
    <row r="230" spans="1:5">
      <c r="A230" s="401"/>
      <c r="B230" s="400"/>
      <c r="C230" s="429"/>
      <c r="D230" s="397"/>
      <c r="E230" s="397"/>
    </row>
    <row r="231" spans="1:5">
      <c r="A231" s="401"/>
      <c r="B231" s="400"/>
      <c r="C231" s="429"/>
      <c r="D231" s="397"/>
      <c r="E231" s="397"/>
    </row>
    <row r="232" spans="1:5">
      <c r="A232" s="401"/>
      <c r="B232" s="400"/>
      <c r="C232" s="429"/>
      <c r="D232" s="397"/>
      <c r="E232" s="397"/>
    </row>
    <row r="233" spans="1:5">
      <c r="A233" s="401"/>
      <c r="B233" s="400"/>
      <c r="C233" s="429"/>
      <c r="D233" s="397"/>
      <c r="E233" s="397"/>
    </row>
    <row r="234" spans="1:5">
      <c r="A234" s="401"/>
      <c r="B234" s="400"/>
      <c r="C234" s="429"/>
      <c r="D234" s="397"/>
      <c r="E234" s="397"/>
    </row>
    <row r="235" spans="1:5">
      <c r="A235" s="401"/>
      <c r="B235" s="400"/>
      <c r="C235" s="429"/>
      <c r="D235" s="397"/>
      <c r="E235" s="397"/>
    </row>
    <row r="236" spans="1:5">
      <c r="A236" s="401"/>
      <c r="B236" s="400"/>
      <c r="C236" s="429"/>
      <c r="D236" s="397"/>
      <c r="E236" s="397"/>
    </row>
    <row r="237" spans="1:5">
      <c r="A237" s="401"/>
      <c r="B237" s="400"/>
      <c r="C237" s="429"/>
      <c r="D237" s="397"/>
      <c r="E237" s="397"/>
    </row>
    <row r="238" spans="1:5">
      <c r="A238" s="401"/>
      <c r="B238" s="400"/>
      <c r="C238" s="429"/>
      <c r="D238" s="397"/>
      <c r="E238" s="397"/>
    </row>
    <row r="239" spans="1:5">
      <c r="A239" s="401"/>
      <c r="B239" s="400"/>
      <c r="C239" s="429"/>
      <c r="D239" s="397"/>
      <c r="E239" s="397"/>
    </row>
    <row r="240" spans="1:5">
      <c r="A240" s="401"/>
      <c r="B240" s="400"/>
      <c r="C240" s="429"/>
      <c r="D240" s="397"/>
      <c r="E240" s="397"/>
    </row>
    <row r="241" spans="1:5">
      <c r="A241" s="401"/>
      <c r="B241" s="400"/>
      <c r="C241" s="429"/>
      <c r="D241" s="397"/>
      <c r="E241" s="397"/>
    </row>
    <row r="242" spans="1:5">
      <c r="A242" s="401"/>
      <c r="B242" s="400"/>
      <c r="C242" s="429"/>
      <c r="D242" s="397"/>
      <c r="E242" s="397"/>
    </row>
    <row r="243" spans="1:5">
      <c r="A243" s="401"/>
      <c r="B243" s="400"/>
      <c r="C243" s="429"/>
      <c r="D243" s="397"/>
      <c r="E243" s="397"/>
    </row>
    <row r="244" spans="1:5">
      <c r="A244" s="401"/>
      <c r="B244" s="400"/>
      <c r="C244" s="429"/>
      <c r="D244" s="397"/>
      <c r="E244" s="397"/>
    </row>
    <row r="245" spans="1:5">
      <c r="A245" s="401"/>
      <c r="B245" s="400"/>
      <c r="C245" s="429"/>
      <c r="D245" s="397"/>
      <c r="E245" s="397"/>
    </row>
    <row r="246" spans="1:5">
      <c r="A246" s="401"/>
      <c r="B246" s="400"/>
      <c r="C246" s="429"/>
      <c r="D246" s="397"/>
      <c r="E246" s="397"/>
    </row>
    <row r="247" spans="1:5">
      <c r="A247" s="401"/>
      <c r="B247" s="400"/>
      <c r="C247" s="429"/>
      <c r="D247" s="397"/>
      <c r="E247" s="397"/>
    </row>
    <row r="248" spans="1:5">
      <c r="A248" s="401"/>
      <c r="B248" s="400"/>
      <c r="C248" s="429"/>
      <c r="D248" s="397"/>
      <c r="E248" s="397"/>
    </row>
    <row r="249" spans="1:5">
      <c r="A249" s="401"/>
      <c r="B249" s="400"/>
      <c r="C249" s="429"/>
      <c r="D249" s="397"/>
      <c r="E249" s="397"/>
    </row>
    <row r="250" spans="1:5">
      <c r="A250" s="401"/>
      <c r="B250" s="400"/>
      <c r="C250" s="429"/>
      <c r="D250" s="397"/>
      <c r="E250" s="397"/>
    </row>
    <row r="251" spans="1:5">
      <c r="A251" s="401"/>
      <c r="B251" s="400"/>
      <c r="C251" s="429"/>
      <c r="D251" s="397"/>
      <c r="E251" s="397"/>
    </row>
    <row r="252" spans="1:5">
      <c r="A252" s="401"/>
      <c r="B252" s="400"/>
      <c r="C252" s="429"/>
      <c r="D252" s="397"/>
      <c r="E252" s="397"/>
    </row>
    <row r="253" spans="1:5">
      <c r="A253" s="401"/>
      <c r="B253" s="400"/>
      <c r="C253" s="429"/>
      <c r="D253" s="397"/>
      <c r="E253" s="397"/>
    </row>
    <row r="254" spans="1:5">
      <c r="A254" s="401"/>
      <c r="B254" s="400"/>
      <c r="C254" s="429"/>
      <c r="D254" s="397"/>
      <c r="E254" s="397"/>
    </row>
    <row r="255" spans="1:5">
      <c r="A255" s="401"/>
      <c r="B255" s="400"/>
      <c r="C255" s="429"/>
      <c r="D255" s="397"/>
      <c r="E255" s="397"/>
    </row>
    <row r="256" spans="1:5">
      <c r="A256" s="401"/>
      <c r="B256" s="400"/>
      <c r="C256" s="429"/>
      <c r="D256" s="397"/>
      <c r="E256" s="397"/>
    </row>
    <row r="257" spans="1:5">
      <c r="A257" s="401"/>
      <c r="B257" s="400"/>
      <c r="C257" s="429"/>
      <c r="D257" s="397"/>
      <c r="E257" s="397"/>
    </row>
    <row r="258" spans="1:5">
      <c r="A258" s="401"/>
      <c r="B258" s="400"/>
      <c r="C258" s="429"/>
      <c r="D258" s="397"/>
      <c r="E258" s="397"/>
    </row>
    <row r="259" spans="1:5">
      <c r="A259" s="401"/>
      <c r="B259" s="400"/>
      <c r="C259" s="429"/>
      <c r="D259" s="397"/>
      <c r="E259" s="397"/>
    </row>
    <row r="260" spans="1:5">
      <c r="A260" s="401"/>
      <c r="B260" s="400"/>
      <c r="C260" s="429"/>
      <c r="D260" s="397"/>
      <c r="E260" s="397"/>
    </row>
    <row r="261" spans="1:5">
      <c r="A261" s="401"/>
      <c r="B261" s="400"/>
      <c r="C261" s="429"/>
      <c r="D261" s="397"/>
      <c r="E261" s="397"/>
    </row>
    <row r="262" spans="1:5">
      <c r="A262" s="401"/>
      <c r="B262" s="400"/>
      <c r="C262" s="429"/>
      <c r="D262" s="397"/>
      <c r="E262" s="397"/>
    </row>
    <row r="263" spans="1:5">
      <c r="A263" s="401"/>
      <c r="B263" s="400"/>
      <c r="C263" s="429"/>
      <c r="D263" s="397"/>
      <c r="E263" s="397"/>
    </row>
    <row r="264" spans="1:5">
      <c r="A264" s="401"/>
      <c r="B264" s="400"/>
      <c r="C264" s="429"/>
      <c r="D264" s="397"/>
      <c r="E264" s="397"/>
    </row>
    <row r="265" spans="1:5">
      <c r="A265" s="401"/>
      <c r="B265" s="400"/>
      <c r="C265" s="429"/>
      <c r="D265" s="397"/>
      <c r="E265" s="397"/>
    </row>
    <row r="266" spans="1:5">
      <c r="A266" s="401"/>
      <c r="B266" s="400"/>
      <c r="C266" s="429"/>
      <c r="D266" s="397"/>
      <c r="E266" s="397"/>
    </row>
    <row r="267" spans="1:5">
      <c r="A267" s="401"/>
      <c r="B267" s="400"/>
      <c r="C267" s="429"/>
      <c r="D267" s="397"/>
      <c r="E267" s="397"/>
    </row>
    <row r="268" spans="1:5">
      <c r="A268" s="401"/>
      <c r="B268" s="400"/>
      <c r="C268" s="429"/>
      <c r="D268" s="397"/>
      <c r="E268" s="397"/>
    </row>
    <row r="269" spans="1:5">
      <c r="A269" s="401"/>
      <c r="B269" s="400"/>
      <c r="C269" s="429"/>
      <c r="D269" s="397"/>
      <c r="E269" s="397"/>
    </row>
    <row r="270" spans="1:5">
      <c r="A270" s="401"/>
      <c r="B270" s="400"/>
      <c r="C270" s="429"/>
      <c r="D270" s="397"/>
      <c r="E270" s="397"/>
    </row>
    <row r="271" spans="1:5">
      <c r="A271" s="401"/>
      <c r="B271" s="400"/>
      <c r="C271" s="429"/>
      <c r="D271" s="397"/>
      <c r="E271" s="397"/>
    </row>
    <row r="272" spans="1:5">
      <c r="A272" s="401"/>
      <c r="B272" s="400"/>
      <c r="C272" s="429"/>
      <c r="D272" s="397"/>
      <c r="E272" s="397"/>
    </row>
    <row r="273" spans="1:5">
      <c r="A273" s="401"/>
      <c r="B273" s="400"/>
      <c r="C273" s="429"/>
      <c r="D273" s="397"/>
      <c r="E273" s="397"/>
    </row>
    <row r="274" spans="1:5">
      <c r="A274" s="401"/>
      <c r="B274" s="400"/>
      <c r="C274" s="429"/>
      <c r="D274" s="397"/>
      <c r="E274" s="397"/>
    </row>
    <row r="275" spans="1:5">
      <c r="A275" s="401"/>
      <c r="B275" s="400"/>
      <c r="C275" s="429"/>
      <c r="D275" s="397"/>
      <c r="E275" s="397"/>
    </row>
    <row r="276" spans="1:5">
      <c r="A276" s="401"/>
      <c r="B276" s="400"/>
      <c r="C276" s="429"/>
      <c r="D276" s="397"/>
      <c r="E276" s="397"/>
    </row>
    <row r="277" spans="1:5">
      <c r="A277" s="401"/>
      <c r="B277" s="400"/>
      <c r="C277" s="429"/>
      <c r="D277" s="397"/>
      <c r="E277" s="397"/>
    </row>
    <row r="278" spans="1:5">
      <c r="A278" s="401"/>
      <c r="B278" s="400"/>
      <c r="C278" s="429"/>
      <c r="D278" s="397"/>
      <c r="E278" s="397"/>
    </row>
    <row r="279" spans="1:5">
      <c r="A279" s="401"/>
      <c r="B279" s="400"/>
      <c r="C279" s="429"/>
      <c r="D279" s="397"/>
      <c r="E279" s="397"/>
    </row>
    <row r="280" spans="1:5">
      <c r="A280" s="401"/>
      <c r="B280" s="400"/>
      <c r="C280" s="429"/>
      <c r="D280" s="397"/>
      <c r="E280" s="397"/>
    </row>
    <row r="281" spans="1:5">
      <c r="A281" s="401"/>
      <c r="B281" s="400"/>
      <c r="C281" s="429"/>
      <c r="D281" s="397"/>
      <c r="E281" s="397"/>
    </row>
    <row r="282" spans="1:5">
      <c r="A282" s="401"/>
      <c r="B282" s="400"/>
      <c r="C282" s="429"/>
      <c r="D282" s="397"/>
      <c r="E282" s="397"/>
    </row>
    <row r="283" spans="1:5">
      <c r="A283" s="401"/>
      <c r="B283" s="400"/>
      <c r="C283" s="429"/>
      <c r="D283" s="397"/>
      <c r="E283" s="397"/>
    </row>
    <row r="284" spans="1:5">
      <c r="A284" s="401"/>
      <c r="B284" s="400"/>
      <c r="C284" s="429"/>
      <c r="D284" s="397"/>
      <c r="E284" s="397"/>
    </row>
    <row r="285" spans="1:5">
      <c r="A285" s="401"/>
      <c r="B285" s="400"/>
      <c r="C285" s="429"/>
      <c r="D285" s="397"/>
      <c r="E285" s="397"/>
    </row>
    <row r="286" spans="1:5">
      <c r="A286" s="401"/>
      <c r="B286" s="400"/>
      <c r="C286" s="429"/>
      <c r="D286" s="397"/>
      <c r="E286" s="397"/>
    </row>
    <row r="287" spans="1:5">
      <c r="A287" s="401"/>
      <c r="B287" s="400"/>
      <c r="C287" s="429"/>
      <c r="D287" s="397"/>
      <c r="E287" s="397"/>
    </row>
    <row r="288" spans="1:5">
      <c r="A288" s="401"/>
      <c r="B288" s="400"/>
      <c r="C288" s="429"/>
      <c r="D288" s="397"/>
      <c r="E288" s="397"/>
    </row>
    <row r="289" spans="1:5">
      <c r="A289" s="401"/>
      <c r="B289" s="400"/>
      <c r="C289" s="429"/>
      <c r="D289" s="397"/>
      <c r="E289" s="397"/>
    </row>
    <row r="290" spans="1:5">
      <c r="A290" s="401"/>
      <c r="B290" s="400"/>
      <c r="C290" s="429"/>
      <c r="D290" s="397"/>
      <c r="E290" s="397"/>
    </row>
    <row r="291" spans="1:5">
      <c r="A291" s="401"/>
      <c r="B291" s="400"/>
      <c r="C291" s="429"/>
      <c r="D291" s="397"/>
      <c r="E291" s="397"/>
    </row>
    <row r="292" spans="1:5">
      <c r="A292" s="401"/>
      <c r="B292" s="400"/>
      <c r="C292" s="429"/>
      <c r="D292" s="397"/>
      <c r="E292" s="397"/>
    </row>
    <row r="293" spans="1:5">
      <c r="A293" s="401"/>
      <c r="B293" s="400"/>
      <c r="C293" s="429"/>
      <c r="D293" s="397"/>
      <c r="E293" s="397"/>
    </row>
    <row r="294" spans="1:5">
      <c r="A294" s="401"/>
      <c r="B294" s="400"/>
      <c r="C294" s="429"/>
      <c r="D294" s="397"/>
      <c r="E294" s="397"/>
    </row>
    <row r="295" spans="1:5">
      <c r="A295" s="401"/>
      <c r="B295" s="400"/>
      <c r="C295" s="429"/>
      <c r="D295" s="397"/>
      <c r="E295" s="397"/>
    </row>
    <row r="296" spans="1:5">
      <c r="A296" s="401"/>
      <c r="B296" s="400"/>
      <c r="C296" s="429"/>
      <c r="D296" s="397"/>
      <c r="E296" s="397"/>
    </row>
    <row r="297" spans="1:5">
      <c r="A297" s="401"/>
      <c r="B297" s="400"/>
      <c r="C297" s="429"/>
      <c r="D297" s="397"/>
      <c r="E297" s="397"/>
    </row>
    <row r="298" spans="1:5">
      <c r="A298" s="401"/>
      <c r="B298" s="400"/>
      <c r="C298" s="429"/>
      <c r="D298" s="397"/>
      <c r="E298" s="397"/>
    </row>
    <row r="299" spans="1:5">
      <c r="A299" s="401"/>
      <c r="B299" s="400"/>
      <c r="C299" s="429"/>
      <c r="D299" s="397"/>
      <c r="E299" s="397"/>
    </row>
    <row r="300" spans="1:5">
      <c r="A300" s="401"/>
      <c r="B300" s="400"/>
      <c r="C300" s="429"/>
      <c r="D300" s="397"/>
      <c r="E300" s="397"/>
    </row>
    <row r="301" spans="1:5">
      <c r="A301" s="401"/>
      <c r="B301" s="400"/>
      <c r="C301" s="429"/>
      <c r="D301" s="397"/>
      <c r="E301" s="397"/>
    </row>
    <row r="302" spans="1:5">
      <c r="A302" s="401"/>
      <c r="B302" s="400"/>
      <c r="C302" s="429"/>
      <c r="D302" s="397"/>
      <c r="E302" s="397"/>
    </row>
    <row r="303" spans="1:5">
      <c r="A303" s="401"/>
      <c r="B303" s="400"/>
      <c r="C303" s="429"/>
      <c r="D303" s="397"/>
      <c r="E303" s="397"/>
    </row>
    <row r="304" spans="1:5">
      <c r="A304" s="401"/>
      <c r="B304" s="400"/>
      <c r="C304" s="429"/>
      <c r="D304" s="397"/>
      <c r="E304" s="397"/>
    </row>
    <row r="305" spans="1:5">
      <c r="A305" s="401"/>
      <c r="B305" s="400"/>
      <c r="C305" s="429"/>
      <c r="D305" s="397"/>
      <c r="E305" s="397"/>
    </row>
    <row r="306" spans="1:5">
      <c r="A306" s="401"/>
      <c r="B306" s="400"/>
      <c r="C306" s="429"/>
      <c r="D306" s="397"/>
      <c r="E306" s="397"/>
    </row>
    <row r="307" spans="1:5">
      <c r="A307" s="401"/>
      <c r="B307" s="400"/>
      <c r="C307" s="429"/>
      <c r="D307" s="397"/>
      <c r="E307" s="397"/>
    </row>
    <row r="308" spans="1:5">
      <c r="A308" s="401"/>
      <c r="B308" s="400"/>
      <c r="C308" s="429"/>
      <c r="D308" s="397"/>
      <c r="E308" s="397"/>
    </row>
    <row r="309" spans="1:5">
      <c r="A309" s="401"/>
      <c r="B309" s="400"/>
      <c r="C309" s="429"/>
      <c r="D309" s="397"/>
      <c r="E309" s="397"/>
    </row>
    <row r="310" spans="1:5">
      <c r="A310" s="401"/>
      <c r="B310" s="400"/>
      <c r="C310" s="429"/>
      <c r="D310" s="397"/>
      <c r="E310" s="397"/>
    </row>
    <row r="311" spans="1:5">
      <c r="A311" s="401"/>
      <c r="B311" s="400"/>
      <c r="C311" s="429"/>
      <c r="D311" s="397"/>
      <c r="E311" s="397"/>
    </row>
    <row r="312" spans="1:5">
      <c r="A312" s="401"/>
      <c r="B312" s="400"/>
      <c r="C312" s="429"/>
      <c r="D312" s="397"/>
      <c r="E312" s="397"/>
    </row>
    <row r="313" spans="1:5">
      <c r="A313" s="401"/>
      <c r="B313" s="400"/>
      <c r="C313" s="429"/>
      <c r="D313" s="397"/>
      <c r="E313" s="397"/>
    </row>
    <row r="314" spans="1:5">
      <c r="A314" s="401"/>
      <c r="B314" s="400"/>
      <c r="C314" s="429"/>
      <c r="D314" s="397"/>
      <c r="E314" s="397"/>
    </row>
    <row r="315" spans="1:5">
      <c r="A315" s="401"/>
      <c r="B315" s="400"/>
      <c r="C315" s="429"/>
      <c r="D315" s="397"/>
      <c r="E315" s="397"/>
    </row>
    <row r="316" spans="1:5">
      <c r="A316" s="401"/>
      <c r="B316" s="400"/>
      <c r="C316" s="429"/>
      <c r="D316" s="397"/>
      <c r="E316" s="397"/>
    </row>
    <row r="317" spans="1:5">
      <c r="A317" s="401"/>
      <c r="B317" s="400"/>
      <c r="C317" s="429"/>
      <c r="D317" s="397"/>
      <c r="E317" s="397"/>
    </row>
    <row r="318" spans="1:5">
      <c r="A318" s="401"/>
      <c r="B318" s="400"/>
      <c r="C318" s="429"/>
      <c r="D318" s="397"/>
      <c r="E318" s="397"/>
    </row>
    <row r="319" spans="1:5">
      <c r="A319" s="401"/>
      <c r="B319" s="400"/>
      <c r="C319" s="429"/>
      <c r="D319" s="397"/>
      <c r="E319" s="397"/>
    </row>
    <row r="320" spans="1:5">
      <c r="A320" s="401"/>
      <c r="B320" s="400"/>
      <c r="C320" s="429"/>
      <c r="D320" s="397"/>
      <c r="E320" s="397"/>
    </row>
    <row r="321" spans="1:5">
      <c r="A321" s="401"/>
      <c r="B321" s="400"/>
      <c r="C321" s="429"/>
      <c r="D321" s="397"/>
      <c r="E321" s="397"/>
    </row>
    <row r="322" spans="1:5">
      <c r="A322" s="401"/>
      <c r="B322" s="400"/>
      <c r="C322" s="429"/>
      <c r="D322" s="397"/>
      <c r="E322" s="397"/>
    </row>
    <row r="323" spans="1:5">
      <c r="A323" s="401"/>
      <c r="B323" s="400"/>
      <c r="C323" s="429"/>
      <c r="D323" s="397"/>
      <c r="E323" s="397"/>
    </row>
    <row r="324" spans="1:5">
      <c r="A324" s="401"/>
      <c r="B324" s="400"/>
      <c r="C324" s="429"/>
      <c r="D324" s="397"/>
      <c r="E324" s="397"/>
    </row>
    <row r="325" spans="1:5">
      <c r="A325" s="401"/>
      <c r="B325" s="400"/>
      <c r="C325" s="429"/>
      <c r="D325" s="397"/>
      <c r="E325" s="397"/>
    </row>
    <row r="326" spans="1:5">
      <c r="A326" s="401"/>
      <c r="B326" s="400"/>
      <c r="C326" s="429"/>
      <c r="D326" s="397"/>
      <c r="E326" s="397"/>
    </row>
    <row r="327" spans="1:5">
      <c r="A327" s="401"/>
      <c r="B327" s="400"/>
      <c r="C327" s="429"/>
      <c r="D327" s="397"/>
      <c r="E327" s="397"/>
    </row>
    <row r="328" spans="1:5">
      <c r="A328" s="401"/>
      <c r="B328" s="400"/>
      <c r="C328" s="429"/>
      <c r="D328" s="397"/>
      <c r="E328" s="397"/>
    </row>
    <row r="329" spans="1:5">
      <c r="A329" s="401"/>
      <c r="B329" s="400"/>
      <c r="C329" s="429"/>
      <c r="D329" s="397"/>
      <c r="E329" s="397"/>
    </row>
    <row r="330" spans="1:5">
      <c r="A330" s="401"/>
      <c r="B330" s="400"/>
      <c r="C330" s="429"/>
      <c r="D330" s="397"/>
      <c r="E330" s="397"/>
    </row>
    <row r="331" spans="1:5">
      <c r="A331" s="401"/>
      <c r="B331" s="400"/>
      <c r="C331" s="429"/>
      <c r="D331" s="397"/>
      <c r="E331" s="397"/>
    </row>
    <row r="332" spans="1:5">
      <c r="A332" s="401"/>
      <c r="B332" s="400"/>
      <c r="C332" s="429"/>
      <c r="D332" s="397"/>
      <c r="E332" s="397"/>
    </row>
    <row r="333" spans="1:5">
      <c r="A333" s="401"/>
      <c r="B333" s="400"/>
      <c r="C333" s="429"/>
      <c r="D333" s="397"/>
      <c r="E333" s="397"/>
    </row>
    <row r="334" spans="1:5">
      <c r="A334" s="401"/>
      <c r="B334" s="400"/>
      <c r="C334" s="429"/>
      <c r="D334" s="397"/>
      <c r="E334" s="397"/>
    </row>
    <row r="335" spans="1:5">
      <c r="A335" s="401"/>
      <c r="B335" s="400"/>
      <c r="C335" s="429"/>
      <c r="D335" s="397"/>
      <c r="E335" s="397"/>
    </row>
    <row r="336" spans="1:5">
      <c r="A336" s="401"/>
      <c r="B336" s="400"/>
      <c r="C336" s="429"/>
      <c r="D336" s="397"/>
      <c r="E336" s="397"/>
    </row>
    <row r="337" spans="1:5">
      <c r="A337" s="401"/>
      <c r="B337" s="400"/>
      <c r="C337" s="429"/>
      <c r="D337" s="397"/>
      <c r="E337" s="397"/>
    </row>
    <row r="338" spans="1:5">
      <c r="A338" s="401"/>
      <c r="B338" s="400"/>
      <c r="C338" s="429"/>
      <c r="D338" s="397"/>
      <c r="E338" s="397"/>
    </row>
    <row r="339" spans="1:5">
      <c r="A339" s="401"/>
      <c r="B339" s="400"/>
      <c r="C339" s="429"/>
      <c r="D339" s="397"/>
      <c r="E339" s="397"/>
    </row>
    <row r="340" spans="1:5">
      <c r="A340" s="401"/>
      <c r="B340" s="400"/>
      <c r="C340" s="429"/>
      <c r="D340" s="397"/>
      <c r="E340" s="397"/>
    </row>
    <row r="341" spans="1:5">
      <c r="A341" s="401"/>
      <c r="B341" s="400"/>
      <c r="C341" s="429"/>
      <c r="D341" s="397"/>
      <c r="E341" s="397"/>
    </row>
    <row r="342" spans="1:5">
      <c r="A342" s="401"/>
      <c r="B342" s="400"/>
      <c r="C342" s="429"/>
      <c r="D342" s="397"/>
      <c r="E342" s="397"/>
    </row>
    <row r="343" spans="1:5">
      <c r="A343" s="401"/>
      <c r="B343" s="400"/>
      <c r="C343" s="429"/>
      <c r="D343" s="397"/>
      <c r="E343" s="397"/>
    </row>
    <row r="344" spans="1:5">
      <c r="A344" s="401"/>
      <c r="B344" s="400"/>
      <c r="C344" s="429"/>
      <c r="D344" s="397"/>
      <c r="E344" s="397"/>
    </row>
    <row r="345" spans="1:5">
      <c r="A345" s="401"/>
      <c r="B345" s="400"/>
      <c r="C345" s="429"/>
      <c r="D345" s="397"/>
      <c r="E345" s="397"/>
    </row>
    <row r="346" spans="1:5">
      <c r="A346" s="401"/>
      <c r="B346" s="400"/>
      <c r="C346" s="429"/>
      <c r="D346" s="397"/>
      <c r="E346" s="397"/>
    </row>
    <row r="347" spans="1:5">
      <c r="A347" s="401"/>
      <c r="B347" s="400"/>
      <c r="C347" s="429"/>
      <c r="D347" s="397"/>
      <c r="E347" s="397"/>
    </row>
    <row r="348" spans="1:5">
      <c r="A348" s="401"/>
      <c r="B348" s="400"/>
      <c r="C348" s="429"/>
      <c r="D348" s="397"/>
      <c r="E348" s="397"/>
    </row>
    <row r="349" spans="1:5">
      <c r="A349" s="401"/>
      <c r="B349" s="400"/>
      <c r="C349" s="429"/>
      <c r="D349" s="397"/>
      <c r="E349" s="397"/>
    </row>
    <row r="350" spans="1:5">
      <c r="A350" s="401"/>
      <c r="B350" s="400"/>
      <c r="C350" s="429"/>
      <c r="D350" s="397"/>
      <c r="E350" s="397"/>
    </row>
    <row r="351" spans="1:5">
      <c r="A351" s="401"/>
      <c r="B351" s="400"/>
      <c r="C351" s="429"/>
      <c r="D351" s="397"/>
      <c r="E351" s="397"/>
    </row>
    <row r="352" spans="1:5">
      <c r="A352" s="401"/>
      <c r="B352" s="400"/>
      <c r="C352" s="429"/>
      <c r="D352" s="397"/>
      <c r="E352" s="397"/>
    </row>
    <row r="353" spans="1:5">
      <c r="A353" s="401"/>
      <c r="B353" s="400"/>
      <c r="C353" s="429"/>
      <c r="D353" s="397"/>
      <c r="E353" s="397"/>
    </row>
    <row r="354" spans="1:5">
      <c r="A354" s="401"/>
      <c r="B354" s="400"/>
      <c r="C354" s="429"/>
      <c r="D354" s="397"/>
      <c r="E354" s="397"/>
    </row>
    <row r="355" spans="1:5">
      <c r="A355" s="401"/>
      <c r="B355" s="400"/>
      <c r="C355" s="429"/>
      <c r="D355" s="397"/>
      <c r="E355" s="397"/>
    </row>
    <row r="356" spans="1:5">
      <c r="A356" s="401"/>
      <c r="B356" s="400"/>
      <c r="C356" s="429"/>
      <c r="D356" s="397"/>
      <c r="E356" s="397"/>
    </row>
    <row r="357" spans="1:5">
      <c r="A357" s="401"/>
      <c r="B357" s="400"/>
      <c r="C357" s="429"/>
      <c r="D357" s="397"/>
      <c r="E357" s="397"/>
    </row>
    <row r="358" spans="1:5">
      <c r="A358" s="401"/>
      <c r="B358" s="400"/>
      <c r="C358" s="429"/>
      <c r="D358" s="397"/>
      <c r="E358" s="397"/>
    </row>
    <row r="359" spans="1:5">
      <c r="A359" s="401"/>
      <c r="B359" s="400"/>
      <c r="C359" s="429"/>
      <c r="D359" s="397"/>
      <c r="E359" s="397"/>
    </row>
    <row r="360" spans="1:5">
      <c r="A360" s="401"/>
      <c r="B360" s="400"/>
      <c r="C360" s="429"/>
      <c r="D360" s="397"/>
      <c r="E360" s="397"/>
    </row>
    <row r="361" spans="1:5">
      <c r="A361" s="401"/>
      <c r="B361" s="400"/>
      <c r="C361" s="429"/>
      <c r="D361" s="397"/>
      <c r="E361" s="397"/>
    </row>
    <row r="362" spans="1:5">
      <c r="A362" s="401"/>
      <c r="B362" s="400"/>
      <c r="C362" s="429"/>
      <c r="D362" s="397"/>
      <c r="E362" s="397"/>
    </row>
    <row r="363" spans="1:5">
      <c r="A363" s="401"/>
      <c r="B363" s="400"/>
      <c r="C363" s="429"/>
      <c r="D363" s="397"/>
      <c r="E363" s="397"/>
    </row>
    <row r="364" spans="1:5">
      <c r="A364" s="401"/>
      <c r="B364" s="400"/>
      <c r="C364" s="429"/>
      <c r="D364" s="397"/>
      <c r="E364" s="397"/>
    </row>
    <row r="365" spans="1:5">
      <c r="A365" s="401"/>
      <c r="B365" s="400"/>
      <c r="C365" s="429"/>
      <c r="D365" s="397"/>
      <c r="E365" s="397"/>
    </row>
    <row r="366" spans="1:5">
      <c r="A366" s="401"/>
      <c r="B366" s="400"/>
      <c r="C366" s="429"/>
      <c r="D366" s="397"/>
      <c r="E366" s="397"/>
    </row>
    <row r="367" spans="1:5">
      <c r="A367" s="401"/>
      <c r="B367" s="400"/>
      <c r="C367" s="429"/>
      <c r="D367" s="397"/>
      <c r="E367" s="397"/>
    </row>
    <row r="368" spans="1:5">
      <c r="A368" s="401"/>
      <c r="B368" s="400"/>
      <c r="C368" s="429"/>
      <c r="D368" s="397"/>
      <c r="E368" s="397"/>
    </row>
    <row r="369" spans="1:5">
      <c r="A369" s="401"/>
      <c r="B369" s="400"/>
      <c r="C369" s="429"/>
      <c r="D369" s="397"/>
      <c r="E369" s="397"/>
    </row>
    <row r="370" spans="1:5">
      <c r="A370" s="401"/>
      <c r="B370" s="400"/>
      <c r="C370" s="429"/>
      <c r="D370" s="397"/>
      <c r="E370" s="397"/>
    </row>
    <row r="371" spans="1:5">
      <c r="A371" s="401"/>
      <c r="B371" s="400"/>
      <c r="C371" s="429"/>
      <c r="D371" s="397"/>
      <c r="E371" s="397"/>
    </row>
    <row r="372" spans="1:5">
      <c r="A372" s="401"/>
      <c r="B372" s="400"/>
      <c r="C372" s="429"/>
      <c r="D372" s="397"/>
      <c r="E372" s="397"/>
    </row>
    <row r="373" spans="1:5">
      <c r="A373" s="401"/>
      <c r="B373" s="400"/>
      <c r="C373" s="429"/>
      <c r="D373" s="397"/>
      <c r="E373" s="397"/>
    </row>
    <row r="374" spans="1:5">
      <c r="A374" s="401"/>
      <c r="B374" s="400"/>
      <c r="C374" s="429"/>
      <c r="D374" s="397"/>
      <c r="E374" s="397"/>
    </row>
    <row r="375" spans="1:5">
      <c r="A375" s="401"/>
      <c r="B375" s="400"/>
      <c r="C375" s="429"/>
      <c r="D375" s="397"/>
      <c r="E375" s="397"/>
    </row>
    <row r="376" spans="1:5">
      <c r="A376" s="401"/>
      <c r="B376" s="400"/>
      <c r="C376" s="429"/>
      <c r="D376" s="397"/>
      <c r="E376" s="397"/>
    </row>
    <row r="377" spans="1:5">
      <c r="A377" s="401"/>
      <c r="B377" s="400"/>
      <c r="C377" s="429"/>
      <c r="D377" s="397"/>
      <c r="E377" s="397"/>
    </row>
    <row r="378" spans="1:5">
      <c r="A378" s="401"/>
      <c r="B378" s="400"/>
      <c r="C378" s="429"/>
      <c r="D378" s="397"/>
      <c r="E378" s="397"/>
    </row>
    <row r="379" spans="1:5">
      <c r="A379" s="401"/>
      <c r="B379" s="400"/>
      <c r="C379" s="429"/>
      <c r="D379" s="397"/>
      <c r="E379" s="397"/>
    </row>
    <row r="380" spans="1:5">
      <c r="A380" s="401"/>
      <c r="B380" s="400"/>
      <c r="C380" s="429"/>
      <c r="D380" s="397"/>
      <c r="E380" s="397"/>
    </row>
    <row r="381" spans="1:5">
      <c r="A381" s="401"/>
      <c r="B381" s="400"/>
      <c r="C381" s="429"/>
      <c r="D381" s="397"/>
      <c r="E381" s="397"/>
    </row>
    <row r="382" spans="1:5">
      <c r="A382" s="401"/>
      <c r="B382" s="400"/>
      <c r="C382" s="429"/>
      <c r="D382" s="397"/>
      <c r="E382" s="397"/>
    </row>
    <row r="383" spans="1:5">
      <c r="A383" s="401"/>
      <c r="B383" s="400"/>
      <c r="C383" s="429"/>
      <c r="D383" s="397"/>
      <c r="E383" s="397"/>
    </row>
    <row r="384" spans="1:5">
      <c r="A384" s="401"/>
      <c r="B384" s="400"/>
      <c r="C384" s="429"/>
      <c r="D384" s="397"/>
      <c r="E384" s="397"/>
    </row>
    <row r="385" spans="1:5">
      <c r="A385" s="401"/>
      <c r="B385" s="400"/>
      <c r="C385" s="429"/>
      <c r="D385" s="397"/>
      <c r="E385" s="397"/>
    </row>
    <row r="386" spans="1:5">
      <c r="A386" s="401"/>
      <c r="B386" s="400"/>
      <c r="C386" s="429"/>
      <c r="D386" s="397"/>
      <c r="E386" s="397"/>
    </row>
    <row r="387" spans="1:5">
      <c r="A387" s="401"/>
      <c r="B387" s="400"/>
      <c r="C387" s="429"/>
      <c r="D387" s="397"/>
      <c r="E387" s="397"/>
    </row>
    <row r="388" spans="1:5">
      <c r="A388" s="401"/>
      <c r="B388" s="400"/>
      <c r="C388" s="429"/>
      <c r="D388" s="397"/>
      <c r="E388" s="397"/>
    </row>
    <row r="389" spans="1:5">
      <c r="A389" s="401"/>
      <c r="B389" s="400"/>
      <c r="C389" s="429"/>
      <c r="D389" s="397"/>
      <c r="E389" s="397"/>
    </row>
    <row r="390" spans="1:5">
      <c r="A390" s="401"/>
      <c r="B390" s="400"/>
      <c r="C390" s="429"/>
      <c r="D390" s="397"/>
      <c r="E390" s="397"/>
    </row>
    <row r="391" spans="1:5">
      <c r="A391" s="401"/>
      <c r="B391" s="400"/>
      <c r="C391" s="429"/>
      <c r="D391" s="397"/>
      <c r="E391" s="397"/>
    </row>
    <row r="392" spans="1:5">
      <c r="A392" s="401"/>
      <c r="B392" s="400"/>
      <c r="C392" s="429"/>
      <c r="D392" s="397"/>
      <c r="E392" s="397"/>
    </row>
    <row r="393" spans="1:5">
      <c r="A393" s="401"/>
      <c r="B393" s="400"/>
      <c r="C393" s="429"/>
      <c r="D393" s="397"/>
      <c r="E393" s="397"/>
    </row>
    <row r="394" spans="1:5">
      <c r="A394" s="401"/>
      <c r="B394" s="400"/>
      <c r="C394" s="429"/>
      <c r="D394" s="397"/>
      <c r="E394" s="397"/>
    </row>
    <row r="395" spans="1:5">
      <c r="A395" s="401"/>
      <c r="B395" s="400"/>
      <c r="C395" s="429"/>
      <c r="D395" s="397"/>
      <c r="E395" s="397"/>
    </row>
    <row r="396" spans="1:5">
      <c r="A396" s="401"/>
      <c r="B396" s="400"/>
      <c r="C396" s="429"/>
      <c r="D396" s="397"/>
      <c r="E396" s="397"/>
    </row>
    <row r="397" spans="1:5">
      <c r="A397" s="401"/>
      <c r="B397" s="400"/>
      <c r="C397" s="429"/>
      <c r="D397" s="397"/>
      <c r="E397" s="397"/>
    </row>
    <row r="398" spans="1:5">
      <c r="A398" s="401"/>
      <c r="B398" s="400"/>
      <c r="C398" s="429"/>
      <c r="D398" s="397"/>
      <c r="E398" s="397"/>
    </row>
    <row r="399" spans="1:5">
      <c r="A399" s="401"/>
      <c r="B399" s="400"/>
      <c r="C399" s="429"/>
      <c r="D399" s="397"/>
      <c r="E399" s="397"/>
    </row>
    <row r="400" spans="1:5">
      <c r="A400" s="401"/>
      <c r="B400" s="400"/>
      <c r="C400" s="429"/>
      <c r="D400" s="397"/>
      <c r="E400" s="397"/>
    </row>
    <row r="401" spans="1:5">
      <c r="A401" s="401"/>
      <c r="B401" s="400"/>
      <c r="C401" s="429"/>
      <c r="D401" s="397"/>
      <c r="E401" s="397"/>
    </row>
    <row r="402" spans="1:5">
      <c r="A402" s="401"/>
      <c r="B402" s="400"/>
      <c r="C402" s="429"/>
      <c r="D402" s="397"/>
      <c r="E402" s="397"/>
    </row>
    <row r="403" spans="1:5">
      <c r="A403" s="401"/>
      <c r="B403" s="400"/>
      <c r="C403" s="429"/>
      <c r="D403" s="397"/>
      <c r="E403" s="397"/>
    </row>
    <row r="404" spans="1:5">
      <c r="A404" s="401"/>
      <c r="B404" s="400"/>
      <c r="C404" s="429"/>
      <c r="D404" s="397"/>
      <c r="E404" s="397"/>
    </row>
    <row r="405" spans="1:5">
      <c r="A405" s="401"/>
      <c r="B405" s="400"/>
      <c r="C405" s="429"/>
      <c r="D405" s="397"/>
      <c r="E405" s="397"/>
    </row>
    <row r="406" spans="1:5">
      <c r="A406" s="401"/>
      <c r="B406" s="400"/>
      <c r="C406" s="429"/>
      <c r="D406" s="397"/>
      <c r="E406" s="397"/>
    </row>
    <row r="407" spans="1:5">
      <c r="A407" s="401"/>
      <c r="B407" s="400"/>
      <c r="C407" s="429"/>
      <c r="D407" s="397"/>
      <c r="E407" s="397"/>
    </row>
    <row r="408" spans="1:5">
      <c r="A408" s="401"/>
      <c r="B408" s="400"/>
      <c r="C408" s="429"/>
      <c r="D408" s="397"/>
      <c r="E408" s="397"/>
    </row>
    <row r="409" spans="1:5">
      <c r="A409" s="401"/>
      <c r="B409" s="400"/>
      <c r="C409" s="429"/>
      <c r="D409" s="397"/>
      <c r="E409" s="397"/>
    </row>
    <row r="410" spans="1:5">
      <c r="A410" s="401"/>
      <c r="B410" s="400"/>
      <c r="C410" s="429"/>
      <c r="D410" s="397"/>
      <c r="E410" s="397"/>
    </row>
    <row r="411" spans="1:5">
      <c r="A411" s="401"/>
      <c r="B411" s="400"/>
      <c r="C411" s="429"/>
      <c r="D411" s="397"/>
      <c r="E411" s="397"/>
    </row>
    <row r="412" spans="1:5">
      <c r="A412" s="401"/>
      <c r="B412" s="400"/>
      <c r="C412" s="429"/>
      <c r="D412" s="397"/>
      <c r="E412" s="397"/>
    </row>
    <row r="413" spans="1:5">
      <c r="A413" s="401"/>
      <c r="B413" s="400"/>
      <c r="C413" s="429"/>
      <c r="D413" s="397"/>
      <c r="E413" s="397"/>
    </row>
    <row r="414" spans="1:5">
      <c r="A414" s="401"/>
      <c r="B414" s="400"/>
      <c r="C414" s="429"/>
      <c r="D414" s="397"/>
      <c r="E414" s="397"/>
    </row>
    <row r="415" spans="1:5">
      <c r="A415" s="401"/>
      <c r="B415" s="400"/>
      <c r="C415" s="429"/>
      <c r="D415" s="397"/>
      <c r="E415" s="397"/>
    </row>
    <row r="416" spans="1:5">
      <c r="A416" s="401"/>
      <c r="B416" s="400"/>
      <c r="C416" s="429"/>
      <c r="D416" s="397"/>
      <c r="E416" s="397"/>
    </row>
    <row r="417" spans="1:5">
      <c r="A417" s="401"/>
      <c r="B417" s="400"/>
      <c r="C417" s="429"/>
      <c r="D417" s="397"/>
      <c r="E417" s="397"/>
    </row>
    <row r="418" spans="1:5">
      <c r="A418" s="401"/>
      <c r="B418" s="400"/>
      <c r="C418" s="429"/>
      <c r="D418" s="397"/>
      <c r="E418" s="397"/>
    </row>
    <row r="419" spans="1:5">
      <c r="A419" s="401"/>
      <c r="B419" s="400"/>
      <c r="C419" s="429"/>
      <c r="D419" s="397"/>
      <c r="E419" s="397"/>
    </row>
    <row r="420" spans="1:5">
      <c r="A420" s="401"/>
      <c r="B420" s="400"/>
      <c r="C420" s="429"/>
      <c r="D420" s="397"/>
      <c r="E420" s="397"/>
    </row>
    <row r="421" spans="1:5">
      <c r="A421" s="401"/>
      <c r="B421" s="400"/>
      <c r="C421" s="429"/>
      <c r="D421" s="397"/>
      <c r="E421" s="397"/>
    </row>
    <row r="422" spans="1:5">
      <c r="A422" s="401"/>
      <c r="B422" s="400"/>
      <c r="C422" s="429"/>
      <c r="D422" s="397"/>
      <c r="E422" s="397"/>
    </row>
    <row r="423" spans="1:5">
      <c r="A423" s="401"/>
      <c r="B423" s="400"/>
      <c r="C423" s="429"/>
      <c r="D423" s="397"/>
      <c r="E423" s="397"/>
    </row>
    <row r="424" spans="1:5">
      <c r="A424" s="401"/>
      <c r="B424" s="400"/>
      <c r="C424" s="429"/>
      <c r="D424" s="397"/>
      <c r="E424" s="397"/>
    </row>
    <row r="425" spans="1:5">
      <c r="A425" s="401"/>
      <c r="B425" s="400"/>
      <c r="C425" s="429"/>
      <c r="D425" s="397"/>
      <c r="E425" s="397"/>
    </row>
    <row r="426" spans="1:5">
      <c r="A426" s="401"/>
      <c r="B426" s="400"/>
      <c r="C426" s="429"/>
      <c r="D426" s="397"/>
      <c r="E426" s="397"/>
    </row>
    <row r="427" spans="1:5">
      <c r="A427" s="401"/>
      <c r="B427" s="400"/>
      <c r="C427" s="429"/>
      <c r="D427" s="397"/>
      <c r="E427" s="397"/>
    </row>
    <row r="428" spans="1:5">
      <c r="A428" s="401"/>
      <c r="B428" s="400"/>
      <c r="C428" s="429"/>
      <c r="D428" s="397"/>
      <c r="E428" s="397"/>
    </row>
    <row r="429" spans="1:5">
      <c r="A429" s="401"/>
      <c r="B429" s="400"/>
      <c r="C429" s="429"/>
      <c r="D429" s="397"/>
      <c r="E429" s="397"/>
    </row>
    <row r="430" spans="1:5">
      <c r="A430" s="401"/>
      <c r="B430" s="400"/>
      <c r="C430" s="429"/>
      <c r="D430" s="397"/>
      <c r="E430" s="397"/>
    </row>
    <row r="431" spans="1:5">
      <c r="A431" s="401"/>
      <c r="B431" s="400"/>
      <c r="C431" s="429"/>
      <c r="D431" s="397"/>
      <c r="E431" s="397"/>
    </row>
    <row r="432" spans="1:5">
      <c r="A432" s="401"/>
      <c r="B432" s="400"/>
      <c r="C432" s="429"/>
      <c r="D432" s="397"/>
      <c r="E432" s="397"/>
    </row>
    <row r="433" spans="1:5">
      <c r="A433" s="401"/>
      <c r="B433" s="400"/>
      <c r="C433" s="429"/>
      <c r="D433" s="397"/>
      <c r="E433" s="397"/>
    </row>
    <row r="434" spans="1:5">
      <c r="A434" s="401"/>
      <c r="B434" s="400"/>
      <c r="C434" s="429"/>
      <c r="D434" s="397"/>
      <c r="E434" s="397"/>
    </row>
    <row r="435" spans="1:5">
      <c r="A435" s="401"/>
      <c r="B435" s="400"/>
      <c r="C435" s="429"/>
      <c r="D435" s="397"/>
      <c r="E435" s="397"/>
    </row>
    <row r="436" spans="1:5">
      <c r="A436" s="401"/>
      <c r="B436" s="400"/>
      <c r="C436" s="429"/>
      <c r="D436" s="397"/>
      <c r="E436" s="397"/>
    </row>
    <row r="437" spans="1:5">
      <c r="A437" s="401"/>
      <c r="B437" s="400"/>
      <c r="C437" s="429"/>
      <c r="D437" s="397"/>
      <c r="E437" s="397"/>
    </row>
    <row r="438" spans="1:5">
      <c r="A438" s="401"/>
      <c r="B438" s="400"/>
      <c r="C438" s="429"/>
      <c r="D438" s="397"/>
      <c r="E438" s="397"/>
    </row>
    <row r="439" spans="1:5">
      <c r="A439" s="401"/>
      <c r="B439" s="400"/>
      <c r="C439" s="429"/>
      <c r="D439" s="397"/>
      <c r="E439" s="397"/>
    </row>
    <row r="440" spans="1:5">
      <c r="A440" s="401"/>
      <c r="B440" s="400"/>
      <c r="C440" s="429"/>
      <c r="D440" s="397"/>
      <c r="E440" s="397"/>
    </row>
    <row r="441" spans="1:5">
      <c r="A441" s="401"/>
      <c r="B441" s="400"/>
      <c r="C441" s="429"/>
      <c r="D441" s="397"/>
      <c r="E441" s="397"/>
    </row>
    <row r="442" spans="1:5">
      <c r="A442" s="401"/>
      <c r="B442" s="400"/>
      <c r="C442" s="429"/>
      <c r="D442" s="397"/>
      <c r="E442" s="397"/>
    </row>
    <row r="443" spans="1:5">
      <c r="A443" s="401"/>
      <c r="B443" s="400"/>
      <c r="C443" s="429"/>
      <c r="D443" s="397"/>
      <c r="E443" s="397"/>
    </row>
    <row r="444" spans="1:5">
      <c r="A444" s="401"/>
      <c r="B444" s="400"/>
      <c r="C444" s="429"/>
      <c r="D444" s="397"/>
      <c r="E444" s="397"/>
    </row>
    <row r="445" spans="1:5">
      <c r="A445" s="401"/>
      <c r="B445" s="400"/>
      <c r="C445" s="429"/>
      <c r="D445" s="397"/>
      <c r="E445" s="397"/>
    </row>
    <row r="446" spans="1:5">
      <c r="A446" s="401"/>
      <c r="B446" s="400"/>
      <c r="C446" s="429"/>
      <c r="D446" s="397"/>
      <c r="E446" s="397"/>
    </row>
    <row r="447" spans="1:5">
      <c r="A447" s="401"/>
      <c r="B447" s="400"/>
      <c r="C447" s="429"/>
      <c r="D447" s="397"/>
      <c r="E447" s="397"/>
    </row>
    <row r="448" spans="1:5">
      <c r="A448" s="401"/>
      <c r="B448" s="400"/>
      <c r="C448" s="429"/>
      <c r="D448" s="397"/>
      <c r="E448" s="397"/>
    </row>
    <row r="449" spans="1:5">
      <c r="A449" s="401"/>
      <c r="B449" s="400"/>
      <c r="C449" s="429"/>
      <c r="D449" s="397"/>
      <c r="E449" s="397"/>
    </row>
    <row r="450" spans="1:5">
      <c r="A450" s="401"/>
      <c r="B450" s="400"/>
      <c r="C450" s="429"/>
      <c r="D450" s="397"/>
      <c r="E450" s="397"/>
    </row>
    <row r="451" spans="1:5">
      <c r="A451" s="401"/>
      <c r="B451" s="400"/>
      <c r="C451" s="429"/>
      <c r="D451" s="397"/>
      <c r="E451" s="397"/>
    </row>
    <row r="452" spans="1:5">
      <c r="A452" s="401"/>
      <c r="B452" s="400"/>
      <c r="C452" s="429"/>
      <c r="D452" s="397"/>
      <c r="E452" s="397"/>
    </row>
    <row r="453" spans="1:5">
      <c r="A453" s="401"/>
      <c r="B453" s="400"/>
      <c r="C453" s="429"/>
      <c r="D453" s="397"/>
      <c r="E453" s="397"/>
    </row>
    <row r="454" spans="1:5">
      <c r="A454" s="401"/>
      <c r="B454" s="400"/>
      <c r="C454" s="429"/>
      <c r="D454" s="397"/>
      <c r="E454" s="397"/>
    </row>
    <row r="455" spans="1:5">
      <c r="A455" s="401"/>
      <c r="B455" s="400"/>
      <c r="C455" s="429"/>
      <c r="D455" s="397"/>
      <c r="E455" s="397"/>
    </row>
    <row r="456" spans="1:5">
      <c r="A456" s="401"/>
      <c r="B456" s="400"/>
      <c r="C456" s="429"/>
      <c r="D456" s="397"/>
      <c r="E456" s="397"/>
    </row>
    <row r="457" spans="1:5">
      <c r="A457" s="401"/>
      <c r="B457" s="400"/>
      <c r="C457" s="429"/>
      <c r="D457" s="397"/>
      <c r="E457" s="397"/>
    </row>
    <row r="458" spans="1:5">
      <c r="A458" s="401"/>
      <c r="B458" s="400"/>
      <c r="C458" s="429"/>
      <c r="D458" s="397"/>
      <c r="E458" s="397"/>
    </row>
    <row r="459" spans="1:5">
      <c r="A459" s="401"/>
      <c r="B459" s="400"/>
      <c r="C459" s="429"/>
      <c r="D459" s="397"/>
      <c r="E459" s="397"/>
    </row>
    <row r="460" spans="1:5">
      <c r="A460" s="401"/>
      <c r="B460" s="400"/>
      <c r="C460" s="429"/>
      <c r="D460" s="397"/>
      <c r="E460" s="397"/>
    </row>
    <row r="461" spans="1:5">
      <c r="A461" s="401"/>
      <c r="B461" s="400"/>
      <c r="C461" s="429"/>
      <c r="D461" s="397"/>
      <c r="E461" s="397"/>
    </row>
    <row r="462" spans="1:5">
      <c r="A462" s="401"/>
      <c r="B462" s="400"/>
      <c r="C462" s="429"/>
      <c r="D462" s="397"/>
      <c r="E462" s="397"/>
    </row>
    <row r="463" spans="1:5">
      <c r="A463" s="401"/>
      <c r="B463" s="400"/>
      <c r="C463" s="429"/>
      <c r="D463" s="397"/>
      <c r="E463" s="397"/>
    </row>
    <row r="464" spans="1:5">
      <c r="A464" s="401"/>
      <c r="B464" s="400"/>
      <c r="C464" s="429"/>
      <c r="D464" s="397"/>
      <c r="E464" s="397"/>
    </row>
    <row r="465" spans="1:5">
      <c r="A465" s="401"/>
      <c r="B465" s="400"/>
      <c r="C465" s="429"/>
      <c r="D465" s="397"/>
      <c r="E465" s="397"/>
    </row>
    <row r="466" spans="1:5">
      <c r="A466" s="401"/>
      <c r="B466" s="400"/>
      <c r="C466" s="429"/>
      <c r="D466" s="397"/>
      <c r="E466" s="397"/>
    </row>
    <row r="467" spans="1:5">
      <c r="A467" s="401"/>
      <c r="B467" s="400"/>
      <c r="C467" s="429"/>
      <c r="D467" s="397"/>
      <c r="E467" s="397"/>
    </row>
    <row r="468" spans="1:5">
      <c r="A468" s="401"/>
      <c r="B468" s="400"/>
      <c r="C468" s="429"/>
      <c r="D468" s="397"/>
      <c r="E468" s="397"/>
    </row>
    <row r="469" spans="1:5">
      <c r="A469" s="401"/>
      <c r="B469" s="400"/>
      <c r="C469" s="429"/>
      <c r="D469" s="397"/>
      <c r="E469" s="397"/>
    </row>
    <row r="470" spans="1:5">
      <c r="A470" s="401"/>
      <c r="B470" s="400"/>
      <c r="C470" s="429"/>
      <c r="D470" s="397"/>
      <c r="E470" s="397"/>
    </row>
    <row r="471" spans="1:5">
      <c r="A471" s="401"/>
      <c r="B471" s="400"/>
      <c r="C471" s="429"/>
      <c r="D471" s="397"/>
      <c r="E471" s="397"/>
    </row>
    <row r="472" spans="1:5">
      <c r="A472" s="401"/>
      <c r="B472" s="400"/>
      <c r="C472" s="429"/>
      <c r="D472" s="397"/>
      <c r="E472" s="397"/>
    </row>
    <row r="473" spans="1:5">
      <c r="A473" s="401"/>
      <c r="B473" s="400"/>
      <c r="C473" s="429"/>
      <c r="D473" s="397"/>
      <c r="E473" s="397"/>
    </row>
    <row r="474" spans="1:5">
      <c r="A474" s="401"/>
      <c r="B474" s="400"/>
      <c r="C474" s="429"/>
      <c r="D474" s="397"/>
      <c r="E474" s="397"/>
    </row>
    <row r="475" spans="1:5">
      <c r="A475" s="401"/>
      <c r="B475" s="400"/>
      <c r="C475" s="429"/>
      <c r="D475" s="397"/>
      <c r="E475" s="397"/>
    </row>
    <row r="476" spans="1:5">
      <c r="A476" s="401"/>
      <c r="B476" s="400"/>
      <c r="C476" s="429"/>
      <c r="D476" s="397"/>
      <c r="E476" s="397"/>
    </row>
    <row r="477" spans="1:5">
      <c r="A477" s="401"/>
      <c r="B477" s="400"/>
      <c r="C477" s="429"/>
      <c r="D477" s="397"/>
      <c r="E477" s="397"/>
    </row>
    <row r="478" spans="1:5">
      <c r="A478" s="401"/>
      <c r="B478" s="400"/>
      <c r="C478" s="429"/>
      <c r="D478" s="397"/>
      <c r="E478" s="397"/>
    </row>
    <row r="479" spans="1:5">
      <c r="A479" s="401"/>
      <c r="B479" s="400"/>
      <c r="C479" s="429"/>
      <c r="D479" s="397"/>
      <c r="E479" s="397"/>
    </row>
    <row r="480" spans="1:5">
      <c r="A480" s="401"/>
      <c r="B480" s="400"/>
      <c r="C480" s="429"/>
      <c r="D480" s="397"/>
      <c r="E480" s="397"/>
    </row>
    <row r="481" spans="1:5">
      <c r="A481" s="401"/>
      <c r="B481" s="400"/>
      <c r="C481" s="429"/>
      <c r="D481" s="397"/>
      <c r="E481" s="397"/>
    </row>
    <row r="482" spans="1:5">
      <c r="A482" s="401"/>
      <c r="B482" s="400"/>
      <c r="C482" s="429"/>
      <c r="D482" s="397"/>
      <c r="E482" s="397"/>
    </row>
    <row r="483" spans="1:5">
      <c r="A483" s="401"/>
      <c r="B483" s="400"/>
      <c r="C483" s="429"/>
      <c r="D483" s="397"/>
      <c r="E483" s="397"/>
    </row>
    <row r="484" spans="1:5">
      <c r="A484" s="401"/>
      <c r="B484" s="400"/>
      <c r="C484" s="429"/>
      <c r="D484" s="397"/>
      <c r="E484" s="397"/>
    </row>
    <row r="485" spans="1:5">
      <c r="A485" s="401"/>
      <c r="B485" s="400"/>
      <c r="C485" s="429"/>
      <c r="D485" s="397"/>
      <c r="E485" s="397"/>
    </row>
    <row r="486" spans="1:5">
      <c r="A486" s="401"/>
      <c r="B486" s="400"/>
      <c r="C486" s="429"/>
      <c r="D486" s="397"/>
      <c r="E486" s="397"/>
    </row>
    <row r="487" spans="1:5">
      <c r="A487" s="401"/>
      <c r="B487" s="400"/>
      <c r="C487" s="429"/>
      <c r="D487" s="397"/>
      <c r="E487" s="397"/>
    </row>
    <row r="488" spans="1:5">
      <c r="A488" s="401"/>
      <c r="B488" s="400"/>
      <c r="C488" s="429"/>
      <c r="D488" s="397"/>
      <c r="E488" s="397"/>
    </row>
    <row r="489" spans="1:5">
      <c r="A489" s="401"/>
      <c r="B489" s="400"/>
      <c r="C489" s="429"/>
      <c r="D489" s="397"/>
      <c r="E489" s="397"/>
    </row>
    <row r="490" spans="1:5">
      <c r="A490" s="401"/>
      <c r="B490" s="400"/>
      <c r="C490" s="429"/>
      <c r="D490" s="397"/>
      <c r="E490" s="397"/>
    </row>
    <row r="491" spans="1:5">
      <c r="A491" s="401"/>
      <c r="B491" s="400"/>
      <c r="C491" s="429"/>
      <c r="D491" s="397"/>
      <c r="E491" s="397"/>
    </row>
    <row r="492" spans="1:5">
      <c r="A492" s="401"/>
      <c r="B492" s="400"/>
      <c r="C492" s="429"/>
      <c r="D492" s="397"/>
      <c r="E492" s="397"/>
    </row>
    <row r="493" spans="1:5">
      <c r="A493" s="401"/>
      <c r="B493" s="400"/>
      <c r="C493" s="429"/>
      <c r="D493" s="397"/>
      <c r="E493" s="397"/>
    </row>
    <row r="494" spans="1:5">
      <c r="A494" s="401"/>
      <c r="B494" s="400"/>
      <c r="C494" s="429"/>
      <c r="D494" s="397"/>
      <c r="E494" s="397"/>
    </row>
    <row r="495" spans="1:5">
      <c r="A495" s="401"/>
      <c r="B495" s="400"/>
      <c r="C495" s="429"/>
      <c r="D495" s="397"/>
      <c r="E495" s="397"/>
    </row>
    <row r="496" spans="1:5">
      <c r="A496" s="401"/>
      <c r="B496" s="400"/>
      <c r="C496" s="429"/>
      <c r="D496" s="397"/>
      <c r="E496" s="397"/>
    </row>
    <row r="497" spans="1:5">
      <c r="A497" s="401"/>
      <c r="B497" s="400"/>
      <c r="C497" s="429"/>
      <c r="D497" s="397"/>
      <c r="E497" s="397"/>
    </row>
    <row r="498" spans="1:5">
      <c r="A498" s="401"/>
      <c r="B498" s="400"/>
      <c r="C498" s="429"/>
      <c r="D498" s="397"/>
      <c r="E498" s="397"/>
    </row>
    <row r="499" spans="1:5">
      <c r="A499" s="401"/>
      <c r="B499" s="400"/>
      <c r="C499" s="429"/>
      <c r="D499" s="397"/>
      <c r="E499" s="397"/>
    </row>
    <row r="500" spans="1:5">
      <c r="A500" s="401"/>
      <c r="B500" s="400"/>
      <c r="C500" s="429"/>
      <c r="D500" s="397"/>
      <c r="E500" s="397"/>
    </row>
    <row r="501" spans="1:5">
      <c r="A501" s="401"/>
      <c r="B501" s="400"/>
      <c r="C501" s="429"/>
      <c r="D501" s="397"/>
      <c r="E501" s="397"/>
    </row>
    <row r="502" spans="1:5">
      <c r="A502" s="401"/>
      <c r="B502" s="400"/>
      <c r="C502" s="429"/>
      <c r="D502" s="397"/>
      <c r="E502" s="397"/>
    </row>
    <row r="503" spans="1:5">
      <c r="A503" s="401"/>
      <c r="B503" s="400"/>
      <c r="C503" s="429"/>
      <c r="D503" s="397"/>
      <c r="E503" s="397"/>
    </row>
    <row r="504" spans="1:5">
      <c r="A504" s="401"/>
      <c r="B504" s="400"/>
      <c r="C504" s="429"/>
      <c r="D504" s="397"/>
      <c r="E504" s="397"/>
    </row>
    <row r="505" spans="1:5">
      <c r="A505" s="401"/>
      <c r="B505" s="400"/>
      <c r="C505" s="429"/>
      <c r="D505" s="397"/>
      <c r="E505" s="397"/>
    </row>
    <row r="506" spans="1:5">
      <c r="A506" s="401"/>
      <c r="B506" s="400"/>
      <c r="C506" s="429"/>
      <c r="D506" s="397"/>
      <c r="E506" s="397"/>
    </row>
    <row r="507" spans="1:5">
      <c r="A507" s="401"/>
      <c r="B507" s="400"/>
      <c r="C507" s="429"/>
      <c r="D507" s="397"/>
      <c r="E507" s="397"/>
    </row>
    <row r="508" spans="1:5">
      <c r="A508" s="401"/>
      <c r="B508" s="400"/>
      <c r="C508" s="429"/>
      <c r="D508" s="397"/>
      <c r="E508" s="397"/>
    </row>
    <row r="509" spans="1:5">
      <c r="A509" s="401"/>
      <c r="B509" s="400"/>
      <c r="C509" s="429"/>
      <c r="D509" s="397"/>
      <c r="E509" s="397"/>
    </row>
    <row r="510" spans="1:5">
      <c r="A510" s="401"/>
      <c r="B510" s="400"/>
      <c r="C510" s="429"/>
      <c r="D510" s="397"/>
      <c r="E510" s="397"/>
    </row>
    <row r="511" spans="1:5">
      <c r="A511" s="401"/>
      <c r="B511" s="400"/>
      <c r="C511" s="429"/>
      <c r="D511" s="397"/>
      <c r="E511" s="397"/>
    </row>
    <row r="512" spans="1:5">
      <c r="A512" s="401"/>
      <c r="B512" s="400"/>
      <c r="C512" s="429"/>
      <c r="D512" s="397"/>
      <c r="E512" s="397"/>
    </row>
    <row r="513" spans="1:5">
      <c r="A513" s="401"/>
      <c r="B513" s="400"/>
      <c r="C513" s="429"/>
      <c r="D513" s="397"/>
      <c r="E513" s="397"/>
    </row>
    <row r="514" spans="1:5">
      <c r="A514" s="401"/>
      <c r="B514" s="400"/>
      <c r="C514" s="429"/>
      <c r="D514" s="397"/>
      <c r="E514" s="397"/>
    </row>
    <row r="515" spans="1:5">
      <c r="A515" s="401"/>
      <c r="B515" s="400"/>
      <c r="C515" s="429"/>
      <c r="D515" s="397"/>
      <c r="E515" s="397"/>
    </row>
    <row r="516" spans="1:5">
      <c r="A516" s="401"/>
      <c r="B516" s="400"/>
      <c r="C516" s="429"/>
      <c r="D516" s="397"/>
      <c r="E516" s="397"/>
    </row>
    <row r="517" spans="1:5">
      <c r="A517" s="401"/>
      <c r="B517" s="400"/>
      <c r="C517" s="429"/>
      <c r="D517" s="397"/>
      <c r="E517" s="397"/>
    </row>
    <row r="518" spans="1:5">
      <c r="A518" s="401"/>
      <c r="B518" s="400"/>
      <c r="C518" s="429"/>
      <c r="D518" s="397"/>
      <c r="E518" s="397"/>
    </row>
    <row r="519" spans="1:5">
      <c r="A519" s="401"/>
      <c r="B519" s="400"/>
      <c r="C519" s="429"/>
      <c r="D519" s="397"/>
      <c r="E519" s="397"/>
    </row>
    <row r="520" spans="1:5">
      <c r="A520" s="401"/>
      <c r="B520" s="400"/>
      <c r="C520" s="429"/>
      <c r="D520" s="397"/>
      <c r="E520" s="397"/>
    </row>
    <row r="521" spans="1:5">
      <c r="A521" s="401"/>
      <c r="B521" s="400"/>
      <c r="C521" s="429"/>
      <c r="D521" s="397"/>
      <c r="E521" s="397"/>
    </row>
    <row r="522" spans="1:5">
      <c r="A522" s="401"/>
      <c r="B522" s="400"/>
      <c r="C522" s="429"/>
      <c r="D522" s="397"/>
      <c r="E522" s="397"/>
    </row>
    <row r="523" spans="1:5">
      <c r="A523" s="401"/>
      <c r="B523" s="400"/>
      <c r="C523" s="429"/>
      <c r="D523" s="397"/>
      <c r="E523" s="397"/>
    </row>
    <row r="524" spans="1:5">
      <c r="A524" s="401"/>
      <c r="B524" s="400"/>
      <c r="C524" s="429"/>
      <c r="D524" s="397"/>
      <c r="E524" s="397"/>
    </row>
    <row r="525" spans="1:5">
      <c r="A525" s="401"/>
      <c r="B525" s="400"/>
      <c r="C525" s="429"/>
      <c r="D525" s="397"/>
      <c r="E525" s="397"/>
    </row>
    <row r="526" spans="1:5">
      <c r="A526" s="401"/>
      <c r="B526" s="400"/>
      <c r="C526" s="429"/>
      <c r="D526" s="397"/>
      <c r="E526" s="397"/>
    </row>
    <row r="527" spans="1:5">
      <c r="A527" s="401"/>
      <c r="B527" s="400"/>
      <c r="C527" s="429"/>
      <c r="D527" s="397"/>
      <c r="E527" s="397"/>
    </row>
    <row r="528" spans="1:5">
      <c r="A528" s="401"/>
      <c r="B528" s="400"/>
      <c r="C528" s="429"/>
      <c r="D528" s="397"/>
      <c r="E528" s="397"/>
    </row>
    <row r="529" spans="1:5">
      <c r="A529" s="401"/>
      <c r="B529" s="400"/>
      <c r="C529" s="429"/>
      <c r="D529" s="397"/>
      <c r="E529" s="397"/>
    </row>
    <row r="530" spans="1:5">
      <c r="A530" s="401"/>
      <c r="B530" s="400"/>
      <c r="C530" s="429"/>
      <c r="D530" s="397"/>
      <c r="E530" s="397"/>
    </row>
    <row r="531" spans="1:5">
      <c r="A531" s="401"/>
      <c r="B531" s="400"/>
      <c r="C531" s="429"/>
      <c r="D531" s="397"/>
      <c r="E531" s="397"/>
    </row>
    <row r="532" spans="1:5">
      <c r="A532" s="401"/>
      <c r="B532" s="400"/>
      <c r="C532" s="429"/>
      <c r="D532" s="397"/>
      <c r="E532" s="397"/>
    </row>
    <row r="533" spans="1:5">
      <c r="A533" s="401"/>
      <c r="B533" s="400"/>
      <c r="C533" s="429"/>
      <c r="D533" s="397"/>
      <c r="E533" s="397"/>
    </row>
    <row r="534" spans="1:5">
      <c r="A534" s="401"/>
      <c r="B534" s="400"/>
      <c r="C534" s="429"/>
      <c r="D534" s="397"/>
      <c r="E534" s="397"/>
    </row>
    <row r="535" spans="1:5">
      <c r="A535" s="401"/>
      <c r="B535" s="400"/>
      <c r="C535" s="429"/>
      <c r="D535" s="397"/>
      <c r="E535" s="397"/>
    </row>
    <row r="536" spans="1:5">
      <c r="A536" s="401"/>
      <c r="B536" s="400"/>
      <c r="C536" s="429"/>
      <c r="D536" s="397"/>
      <c r="E536" s="397"/>
    </row>
    <row r="537" spans="1:5">
      <c r="A537" s="401"/>
      <c r="B537" s="400"/>
      <c r="C537" s="429"/>
      <c r="D537" s="397"/>
      <c r="E537" s="397"/>
    </row>
    <row r="538" spans="1:5">
      <c r="A538" s="401"/>
      <c r="B538" s="400"/>
      <c r="C538" s="429"/>
      <c r="D538" s="397"/>
      <c r="E538" s="397"/>
    </row>
    <row r="539" spans="1:5">
      <c r="A539" s="401"/>
      <c r="B539" s="400"/>
      <c r="C539" s="429"/>
      <c r="D539" s="397"/>
      <c r="E539" s="397"/>
    </row>
    <row r="540" spans="1:5">
      <c r="A540" s="401"/>
      <c r="B540" s="400"/>
      <c r="C540" s="429"/>
      <c r="D540" s="397"/>
      <c r="E540" s="397"/>
    </row>
    <row r="541" spans="1:5">
      <c r="A541" s="401"/>
      <c r="B541" s="400"/>
      <c r="C541" s="429"/>
      <c r="D541" s="397"/>
      <c r="E541" s="397"/>
    </row>
    <row r="542" spans="1:5">
      <c r="A542" s="401"/>
      <c r="B542" s="400"/>
      <c r="C542" s="429"/>
      <c r="D542" s="397"/>
      <c r="E542" s="397"/>
    </row>
    <row r="543" spans="1:5">
      <c r="A543" s="401"/>
      <c r="B543" s="400"/>
      <c r="C543" s="429"/>
      <c r="D543" s="397"/>
      <c r="E543" s="397"/>
    </row>
    <row r="544" spans="1:5">
      <c r="A544" s="401"/>
      <c r="B544" s="400"/>
      <c r="C544" s="429"/>
      <c r="D544" s="397"/>
      <c r="E544" s="397"/>
    </row>
    <row r="545" spans="1:5">
      <c r="A545" s="401"/>
      <c r="B545" s="400"/>
      <c r="C545" s="429"/>
      <c r="D545" s="397"/>
      <c r="E545" s="397"/>
    </row>
    <row r="546" spans="1:5">
      <c r="A546" s="401"/>
      <c r="B546" s="400"/>
      <c r="C546" s="429"/>
      <c r="D546" s="397"/>
      <c r="E546" s="397"/>
    </row>
    <row r="547" spans="1:5">
      <c r="A547" s="401"/>
      <c r="B547" s="400"/>
      <c r="C547" s="429"/>
      <c r="D547" s="397"/>
      <c r="E547" s="397"/>
    </row>
    <row r="548" spans="1:5">
      <c r="A548" s="401"/>
      <c r="B548" s="400"/>
      <c r="C548" s="429"/>
      <c r="D548" s="397"/>
      <c r="E548" s="397"/>
    </row>
    <row r="549" spans="1:5">
      <c r="A549" s="401"/>
      <c r="B549" s="400"/>
      <c r="C549" s="429"/>
      <c r="D549" s="397"/>
      <c r="E549" s="397"/>
    </row>
    <row r="550" spans="1:5">
      <c r="A550" s="401"/>
      <c r="B550" s="400"/>
      <c r="C550" s="429"/>
      <c r="D550" s="397"/>
      <c r="E550" s="397"/>
    </row>
    <row r="551" spans="1:5">
      <c r="A551" s="401"/>
      <c r="B551" s="400"/>
      <c r="C551" s="429"/>
      <c r="D551" s="397"/>
      <c r="E551" s="397"/>
    </row>
    <row r="552" spans="1:5">
      <c r="A552" s="401"/>
      <c r="B552" s="400"/>
      <c r="C552" s="429"/>
      <c r="D552" s="397"/>
      <c r="E552" s="397"/>
    </row>
    <row r="553" spans="1:5">
      <c r="A553" s="401"/>
      <c r="B553" s="400"/>
      <c r="C553" s="429"/>
      <c r="D553" s="397"/>
      <c r="E553" s="397"/>
    </row>
    <row r="554" spans="1:5">
      <c r="A554" s="401"/>
      <c r="B554" s="400"/>
      <c r="C554" s="429"/>
      <c r="D554" s="397"/>
      <c r="E554" s="397"/>
    </row>
    <row r="555" spans="1:5">
      <c r="A555" s="401"/>
      <c r="B555" s="400"/>
      <c r="C555" s="429"/>
      <c r="D555" s="397"/>
      <c r="E555" s="397"/>
    </row>
    <row r="556" spans="1:5">
      <c r="A556" s="401"/>
      <c r="B556" s="400"/>
      <c r="C556" s="429"/>
      <c r="D556" s="397"/>
      <c r="E556" s="397"/>
    </row>
    <row r="557" spans="1:5">
      <c r="A557" s="401"/>
      <c r="B557" s="400"/>
      <c r="C557" s="429"/>
      <c r="D557" s="397"/>
      <c r="E557" s="397"/>
    </row>
    <row r="558" spans="1:5">
      <c r="A558" s="401"/>
      <c r="B558" s="400"/>
      <c r="C558" s="429"/>
      <c r="D558" s="397"/>
      <c r="E558" s="397"/>
    </row>
    <row r="559" spans="1:5">
      <c r="A559" s="401"/>
      <c r="B559" s="400"/>
      <c r="C559" s="429"/>
      <c r="D559" s="397"/>
      <c r="E559" s="397"/>
    </row>
    <row r="560" spans="1:5">
      <c r="A560" s="401"/>
      <c r="B560" s="400"/>
      <c r="C560" s="429"/>
      <c r="D560" s="397"/>
      <c r="E560" s="397"/>
    </row>
    <row r="561" spans="1:5">
      <c r="A561" s="401"/>
      <c r="B561" s="400"/>
      <c r="C561" s="429"/>
      <c r="D561" s="397"/>
      <c r="E561" s="397"/>
    </row>
    <row r="562" spans="1:5">
      <c r="A562" s="401"/>
      <c r="B562" s="400"/>
      <c r="C562" s="429"/>
      <c r="D562" s="397"/>
      <c r="E562" s="397"/>
    </row>
    <row r="563" spans="1:5">
      <c r="A563" s="401"/>
      <c r="B563" s="400"/>
      <c r="C563" s="429"/>
      <c r="D563" s="397"/>
      <c r="E563" s="397"/>
    </row>
    <row r="564" spans="1:5">
      <c r="A564" s="401"/>
      <c r="B564" s="400"/>
      <c r="C564" s="429"/>
      <c r="D564" s="397"/>
      <c r="E564" s="397"/>
    </row>
    <row r="565" spans="1:5">
      <c r="A565" s="401"/>
      <c r="B565" s="400"/>
      <c r="C565" s="429"/>
      <c r="D565" s="397"/>
      <c r="E565" s="397"/>
    </row>
    <row r="566" spans="1:5">
      <c r="A566" s="401"/>
      <c r="B566" s="400"/>
      <c r="C566" s="429"/>
      <c r="D566" s="397"/>
      <c r="E566" s="397"/>
    </row>
    <row r="567" spans="1:5">
      <c r="A567" s="401"/>
      <c r="B567" s="400"/>
      <c r="C567" s="429"/>
      <c r="D567" s="397"/>
      <c r="E567" s="397"/>
    </row>
    <row r="568" spans="1:5">
      <c r="A568" s="401"/>
      <c r="B568" s="400"/>
      <c r="C568" s="429"/>
      <c r="D568" s="397"/>
      <c r="E568" s="397"/>
    </row>
    <row r="569" spans="1:5">
      <c r="A569" s="401"/>
      <c r="B569" s="400"/>
      <c r="C569" s="429"/>
      <c r="D569" s="397"/>
      <c r="E569" s="397"/>
    </row>
    <row r="570" spans="1:5">
      <c r="A570" s="401"/>
      <c r="B570" s="400"/>
      <c r="C570" s="429"/>
      <c r="D570" s="397"/>
      <c r="E570" s="397"/>
    </row>
    <row r="571" spans="1:5">
      <c r="A571" s="401"/>
      <c r="B571" s="400"/>
      <c r="C571" s="429"/>
      <c r="D571" s="397"/>
      <c r="E571" s="397"/>
    </row>
    <row r="572" spans="1:5">
      <c r="A572" s="401"/>
      <c r="B572" s="400"/>
      <c r="C572" s="429"/>
      <c r="D572" s="397"/>
      <c r="E572" s="397"/>
    </row>
    <row r="573" spans="1:5">
      <c r="A573" s="401"/>
      <c r="B573" s="400"/>
      <c r="C573" s="429"/>
      <c r="D573" s="397"/>
      <c r="E573" s="397"/>
    </row>
    <row r="574" spans="1:5">
      <c r="A574" s="401"/>
      <c r="B574" s="400"/>
      <c r="C574" s="429"/>
      <c r="D574" s="397"/>
      <c r="E574" s="397"/>
    </row>
    <row r="575" spans="1:5">
      <c r="A575" s="401"/>
      <c r="B575" s="400"/>
      <c r="C575" s="429"/>
      <c r="D575" s="397"/>
      <c r="E575" s="397"/>
    </row>
    <row r="576" spans="1:5">
      <c r="A576" s="401"/>
      <c r="B576" s="400"/>
      <c r="C576" s="429"/>
      <c r="D576" s="397"/>
      <c r="E576" s="397"/>
    </row>
    <row r="577" spans="1:5">
      <c r="A577" s="401"/>
      <c r="B577" s="400"/>
      <c r="C577" s="429"/>
      <c r="D577" s="397"/>
      <c r="E577" s="397"/>
    </row>
    <row r="578" spans="1:5">
      <c r="A578" s="401"/>
      <c r="B578" s="400"/>
      <c r="C578" s="429"/>
      <c r="D578" s="397"/>
      <c r="E578" s="397"/>
    </row>
    <row r="579" spans="1:5">
      <c r="A579" s="401"/>
      <c r="B579" s="400"/>
      <c r="C579" s="429"/>
      <c r="D579" s="397"/>
      <c r="E579" s="397"/>
    </row>
    <row r="580" spans="1:5">
      <c r="A580" s="401"/>
      <c r="B580" s="400"/>
      <c r="C580" s="429"/>
      <c r="D580" s="397"/>
      <c r="E580" s="397"/>
    </row>
    <row r="581" spans="1:5">
      <c r="A581" s="401"/>
      <c r="B581" s="400"/>
      <c r="C581" s="429"/>
      <c r="D581" s="397"/>
      <c r="E581" s="397"/>
    </row>
    <row r="582" spans="1:5">
      <c r="A582" s="401"/>
      <c r="B582" s="400"/>
      <c r="C582" s="429"/>
      <c r="D582" s="397"/>
      <c r="E582" s="397"/>
    </row>
    <row r="583" spans="1:5">
      <c r="A583" s="401"/>
      <c r="B583" s="400"/>
      <c r="C583" s="429"/>
      <c r="D583" s="397"/>
      <c r="E583" s="397"/>
    </row>
    <row r="584" spans="1:5">
      <c r="A584" s="401"/>
      <c r="B584" s="400"/>
      <c r="C584" s="429"/>
      <c r="D584" s="397"/>
      <c r="E584" s="397"/>
    </row>
    <row r="585" spans="1:5">
      <c r="A585" s="401"/>
      <c r="B585" s="400"/>
      <c r="C585" s="429"/>
      <c r="D585" s="397"/>
      <c r="E585" s="397"/>
    </row>
    <row r="586" spans="1:5">
      <c r="A586" s="401"/>
      <c r="B586" s="400"/>
      <c r="C586" s="429"/>
      <c r="D586" s="397"/>
      <c r="E586" s="397"/>
    </row>
    <row r="587" spans="1:5">
      <c r="A587" s="401"/>
      <c r="B587" s="400"/>
      <c r="C587" s="429"/>
      <c r="D587" s="397"/>
      <c r="E587" s="397"/>
    </row>
    <row r="588" spans="1:5">
      <c r="A588" s="401"/>
      <c r="B588" s="400"/>
      <c r="C588" s="429"/>
      <c r="D588" s="397"/>
      <c r="E588" s="397"/>
    </row>
    <row r="589" spans="1:5">
      <c r="A589" s="401"/>
      <c r="B589" s="400"/>
      <c r="C589" s="429"/>
      <c r="D589" s="397"/>
      <c r="E589" s="397"/>
    </row>
    <row r="590" spans="1:5">
      <c r="A590" s="401"/>
      <c r="B590" s="400"/>
      <c r="C590" s="429"/>
      <c r="D590" s="397"/>
      <c r="E590" s="397"/>
    </row>
    <row r="591" spans="1:5">
      <c r="A591" s="401"/>
      <c r="B591" s="400"/>
      <c r="C591" s="429"/>
      <c r="D591" s="397"/>
      <c r="E591" s="397"/>
    </row>
    <row r="592" spans="1:5">
      <c r="A592" s="401"/>
      <c r="B592" s="400"/>
      <c r="C592" s="429"/>
      <c r="D592" s="397"/>
      <c r="E592" s="397"/>
    </row>
    <row r="593" spans="1:5">
      <c r="A593" s="401"/>
      <c r="B593" s="400"/>
      <c r="C593" s="429"/>
      <c r="D593" s="397"/>
      <c r="E593" s="397"/>
    </row>
    <row r="594" spans="1:5">
      <c r="A594" s="401"/>
      <c r="B594" s="400"/>
      <c r="C594" s="429"/>
      <c r="D594" s="397"/>
      <c r="E594" s="397"/>
    </row>
    <row r="595" spans="1:5">
      <c r="A595" s="401"/>
      <c r="B595" s="400"/>
      <c r="C595" s="429"/>
      <c r="D595" s="397"/>
      <c r="E595" s="397"/>
    </row>
    <row r="596" spans="1:5">
      <c r="A596" s="401"/>
      <c r="B596" s="400"/>
      <c r="C596" s="429"/>
      <c r="D596" s="397"/>
      <c r="E596" s="397"/>
    </row>
    <row r="597" spans="1:5">
      <c r="A597" s="401"/>
      <c r="B597" s="400"/>
      <c r="C597" s="429"/>
      <c r="D597" s="397"/>
      <c r="E597" s="397"/>
    </row>
    <row r="598" spans="1:5">
      <c r="A598" s="401"/>
      <c r="B598" s="400"/>
      <c r="C598" s="429"/>
      <c r="D598" s="397"/>
      <c r="E598" s="397"/>
    </row>
    <row r="599" spans="1:5">
      <c r="A599" s="401"/>
      <c r="B599" s="400"/>
      <c r="C599" s="429"/>
      <c r="D599" s="397"/>
      <c r="E599" s="397"/>
    </row>
    <row r="600" spans="1:5">
      <c r="A600" s="401"/>
      <c r="B600" s="400"/>
      <c r="C600" s="429"/>
      <c r="D600" s="397"/>
      <c r="E600" s="397"/>
    </row>
    <row r="601" spans="1:5">
      <c r="A601" s="401"/>
      <c r="B601" s="400"/>
      <c r="C601" s="429"/>
      <c r="D601" s="397"/>
      <c r="E601" s="397"/>
    </row>
    <row r="602" spans="1:5">
      <c r="A602" s="401"/>
      <c r="B602" s="400"/>
      <c r="C602" s="429"/>
      <c r="D602" s="397"/>
      <c r="E602" s="397"/>
    </row>
    <row r="603" spans="1:5">
      <c r="A603" s="401"/>
      <c r="B603" s="400"/>
      <c r="C603" s="429"/>
      <c r="D603" s="397"/>
      <c r="E603" s="397"/>
    </row>
    <row r="604" spans="1:5">
      <c r="A604" s="401"/>
      <c r="B604" s="400"/>
      <c r="C604" s="429"/>
      <c r="D604" s="397"/>
      <c r="E604" s="397"/>
    </row>
    <row r="605" spans="1:5">
      <c r="A605" s="401"/>
      <c r="B605" s="400"/>
      <c r="C605" s="429"/>
      <c r="D605" s="397"/>
      <c r="E605" s="397"/>
    </row>
    <row r="606" spans="1:5">
      <c r="A606" s="401"/>
      <c r="B606" s="400"/>
      <c r="C606" s="429"/>
      <c r="D606" s="397"/>
      <c r="E606" s="397"/>
    </row>
    <row r="607" spans="1:5">
      <c r="A607" s="401"/>
      <c r="B607" s="400"/>
      <c r="C607" s="429"/>
      <c r="D607" s="397"/>
      <c r="E607" s="397"/>
    </row>
    <row r="608" spans="1:5">
      <c r="A608" s="401"/>
      <c r="B608" s="400"/>
      <c r="C608" s="429"/>
      <c r="D608" s="397"/>
      <c r="E608" s="397"/>
    </row>
    <row r="609" spans="1:5">
      <c r="A609" s="401"/>
      <c r="B609" s="400"/>
      <c r="C609" s="429"/>
      <c r="D609" s="397"/>
      <c r="E609" s="397"/>
    </row>
    <row r="610" spans="1:5">
      <c r="A610" s="401"/>
      <c r="B610" s="400"/>
      <c r="C610" s="429"/>
      <c r="D610" s="397"/>
      <c r="E610" s="397"/>
    </row>
    <row r="611" spans="1:5">
      <c r="A611" s="401"/>
      <c r="B611" s="400"/>
      <c r="C611" s="429"/>
      <c r="D611" s="397"/>
      <c r="E611" s="397"/>
    </row>
    <row r="612" spans="1:5">
      <c r="A612" s="401"/>
      <c r="B612" s="400"/>
      <c r="C612" s="429"/>
      <c r="D612" s="397"/>
      <c r="E612" s="397"/>
    </row>
    <row r="613" spans="1:5">
      <c r="A613" s="401"/>
      <c r="B613" s="400"/>
      <c r="C613" s="429"/>
      <c r="D613" s="397"/>
      <c r="E613" s="397"/>
    </row>
    <row r="614" spans="1:5">
      <c r="A614" s="401"/>
      <c r="B614" s="400"/>
      <c r="C614" s="429"/>
      <c r="D614" s="397"/>
      <c r="E614" s="397"/>
    </row>
    <row r="615" spans="1:5">
      <c r="A615" s="401"/>
      <c r="B615" s="400"/>
      <c r="C615" s="429"/>
      <c r="D615" s="397"/>
      <c r="E615" s="397"/>
    </row>
    <row r="616" spans="1:5">
      <c r="A616" s="401"/>
      <c r="B616" s="400"/>
      <c r="C616" s="429"/>
      <c r="D616" s="397"/>
      <c r="E616" s="397"/>
    </row>
    <row r="617" spans="1:5">
      <c r="A617" s="401"/>
      <c r="B617" s="400"/>
      <c r="C617" s="429"/>
      <c r="D617" s="397"/>
      <c r="E617" s="397"/>
    </row>
    <row r="618" spans="1:5">
      <c r="A618" s="401"/>
      <c r="B618" s="400"/>
      <c r="C618" s="429"/>
      <c r="D618" s="397"/>
      <c r="E618" s="397"/>
    </row>
    <row r="619" spans="1:5">
      <c r="A619" s="401"/>
      <c r="B619" s="400"/>
      <c r="C619" s="429"/>
      <c r="D619" s="397"/>
      <c r="E619" s="397"/>
    </row>
    <row r="620" spans="1:5">
      <c r="A620" s="401"/>
      <c r="B620" s="400"/>
      <c r="C620" s="429"/>
      <c r="D620" s="397"/>
      <c r="E620" s="397"/>
    </row>
    <row r="621" spans="1:5">
      <c r="A621" s="401"/>
      <c r="B621" s="400"/>
      <c r="C621" s="429"/>
      <c r="D621" s="397"/>
      <c r="E621" s="397"/>
    </row>
    <row r="622" spans="1:5">
      <c r="A622" s="401"/>
      <c r="B622" s="400"/>
      <c r="C622" s="429"/>
      <c r="D622" s="397"/>
      <c r="E622" s="397"/>
    </row>
    <row r="623" spans="1:5">
      <c r="A623" s="401"/>
      <c r="B623" s="400"/>
      <c r="C623" s="429"/>
      <c r="D623" s="397"/>
      <c r="E623" s="397"/>
    </row>
    <row r="624" spans="1:5">
      <c r="A624" s="401"/>
      <c r="B624" s="400"/>
      <c r="C624" s="429"/>
      <c r="D624" s="397"/>
      <c r="E624" s="397"/>
    </row>
    <row r="625" spans="1:5">
      <c r="A625" s="401"/>
      <c r="B625" s="400"/>
      <c r="C625" s="429"/>
      <c r="D625" s="397"/>
      <c r="E625" s="397"/>
    </row>
    <row r="626" spans="1:5">
      <c r="A626" s="401"/>
      <c r="B626" s="400"/>
      <c r="C626" s="429"/>
      <c r="D626" s="397"/>
      <c r="E626" s="397"/>
    </row>
    <row r="627" spans="1:5">
      <c r="A627" s="401"/>
      <c r="B627" s="400"/>
      <c r="C627" s="429"/>
      <c r="D627" s="397"/>
      <c r="E627" s="397"/>
    </row>
    <row r="628" spans="1:5">
      <c r="A628" s="401"/>
      <c r="B628" s="400"/>
      <c r="C628" s="429"/>
      <c r="D628" s="397"/>
      <c r="E628" s="397"/>
    </row>
    <row r="629" spans="1:5">
      <c r="A629" s="401"/>
      <c r="B629" s="400"/>
      <c r="C629" s="429"/>
      <c r="D629" s="397"/>
      <c r="E629" s="397"/>
    </row>
    <row r="630" spans="1:5">
      <c r="A630" s="401"/>
      <c r="B630" s="400"/>
      <c r="C630" s="429"/>
      <c r="D630" s="397"/>
      <c r="E630" s="397"/>
    </row>
    <row r="631" spans="1:5">
      <c r="A631" s="401"/>
      <c r="B631" s="400"/>
      <c r="C631" s="429"/>
      <c r="D631" s="397"/>
      <c r="E631" s="397"/>
    </row>
    <row r="632" spans="1:5">
      <c r="A632" s="401"/>
      <c r="B632" s="400"/>
      <c r="C632" s="429"/>
      <c r="D632" s="397"/>
      <c r="E632" s="397"/>
    </row>
    <row r="633" spans="1:5">
      <c r="A633" s="401"/>
      <c r="B633" s="400"/>
      <c r="C633" s="429"/>
      <c r="D633" s="397"/>
      <c r="E633" s="397"/>
    </row>
    <row r="634" spans="1:5">
      <c r="A634" s="401"/>
      <c r="B634" s="400"/>
      <c r="C634" s="429"/>
      <c r="D634" s="397"/>
      <c r="E634" s="397"/>
    </row>
    <row r="635" spans="1:5">
      <c r="A635" s="401"/>
      <c r="B635" s="400"/>
      <c r="C635" s="429"/>
      <c r="D635" s="397"/>
      <c r="E635" s="397"/>
    </row>
    <row r="636" spans="1:5">
      <c r="A636" s="401"/>
      <c r="B636" s="400"/>
      <c r="C636" s="429"/>
      <c r="D636" s="397"/>
      <c r="E636" s="397"/>
    </row>
    <row r="637" spans="1:5">
      <c r="A637" s="401"/>
      <c r="B637" s="400"/>
      <c r="C637" s="429"/>
      <c r="D637" s="397"/>
      <c r="E637" s="397"/>
    </row>
    <row r="638" spans="1:5">
      <c r="A638" s="401"/>
      <c r="B638" s="400"/>
      <c r="C638" s="429"/>
      <c r="D638" s="397"/>
      <c r="E638" s="397"/>
    </row>
    <row r="639" spans="1:5">
      <c r="A639" s="401"/>
      <c r="B639" s="400"/>
      <c r="C639" s="429"/>
      <c r="D639" s="397"/>
      <c r="E639" s="397"/>
    </row>
    <row r="640" spans="1:5">
      <c r="A640" s="401"/>
      <c r="B640" s="400"/>
      <c r="C640" s="429"/>
      <c r="D640" s="397"/>
      <c r="E640" s="397"/>
    </row>
    <row r="641" spans="1:5">
      <c r="A641" s="401"/>
      <c r="B641" s="400"/>
      <c r="C641" s="429"/>
      <c r="D641" s="397"/>
      <c r="E641" s="397"/>
    </row>
    <row r="642" spans="1:5">
      <c r="A642" s="401"/>
      <c r="B642" s="400"/>
      <c r="C642" s="429"/>
      <c r="D642" s="397"/>
      <c r="E642" s="397"/>
    </row>
    <row r="643" spans="1:5">
      <c r="A643" s="401"/>
      <c r="B643" s="400"/>
      <c r="C643" s="429"/>
      <c r="D643" s="397"/>
      <c r="E643" s="397"/>
    </row>
    <row r="644" spans="1:5">
      <c r="A644" s="401"/>
      <c r="B644" s="400"/>
      <c r="C644" s="429"/>
      <c r="D644" s="397"/>
      <c r="E644" s="397"/>
    </row>
    <row r="645" spans="1:5">
      <c r="A645" s="401"/>
      <c r="B645" s="400"/>
      <c r="C645" s="429"/>
      <c r="D645" s="397"/>
      <c r="E645" s="397"/>
    </row>
    <row r="646" spans="1:5">
      <c r="A646" s="401"/>
      <c r="B646" s="400"/>
      <c r="C646" s="429"/>
      <c r="D646" s="397"/>
      <c r="E646" s="397"/>
    </row>
    <row r="647" spans="1:5">
      <c r="A647" s="401"/>
      <c r="B647" s="400"/>
      <c r="C647" s="429"/>
      <c r="D647" s="397"/>
      <c r="E647" s="397"/>
    </row>
    <row r="648" spans="1:5">
      <c r="A648" s="401"/>
      <c r="B648" s="400"/>
      <c r="C648" s="429"/>
      <c r="D648" s="397"/>
      <c r="E648" s="397"/>
    </row>
    <row r="649" spans="1:5">
      <c r="A649" s="401"/>
      <c r="B649" s="400"/>
      <c r="C649" s="429"/>
      <c r="D649" s="397"/>
      <c r="E649" s="397"/>
    </row>
    <row r="650" spans="1:5">
      <c r="A650" s="401"/>
      <c r="B650" s="400"/>
      <c r="C650" s="429"/>
      <c r="D650" s="397"/>
      <c r="E650" s="397"/>
    </row>
    <row r="651" spans="1:5">
      <c r="A651" s="401"/>
      <c r="B651" s="400"/>
      <c r="C651" s="429"/>
      <c r="D651" s="397"/>
      <c r="E651" s="397"/>
    </row>
    <row r="652" spans="1:5">
      <c r="A652" s="401"/>
      <c r="B652" s="400"/>
      <c r="C652" s="429"/>
      <c r="D652" s="397"/>
      <c r="E652" s="397"/>
    </row>
    <row r="653" spans="1:5">
      <c r="A653" s="401"/>
      <c r="B653" s="400"/>
      <c r="C653" s="429"/>
      <c r="D653" s="397"/>
      <c r="E653" s="397"/>
    </row>
    <row r="654" spans="1:5">
      <c r="A654" s="401"/>
      <c r="B654" s="400"/>
      <c r="C654" s="429"/>
      <c r="D654" s="397"/>
      <c r="E654" s="397"/>
    </row>
    <row r="655" spans="1:5">
      <c r="A655" s="401"/>
      <c r="B655" s="400"/>
      <c r="C655" s="429"/>
      <c r="D655" s="397"/>
      <c r="E655" s="397"/>
    </row>
    <row r="656" spans="1:5">
      <c r="A656" s="401"/>
      <c r="B656" s="400"/>
      <c r="C656" s="429"/>
      <c r="D656" s="397"/>
      <c r="E656" s="397"/>
    </row>
    <row r="657" spans="1:5">
      <c r="A657" s="401"/>
      <c r="B657" s="400"/>
      <c r="C657" s="429"/>
      <c r="D657" s="397"/>
      <c r="E657" s="397"/>
    </row>
    <row r="658" spans="1:5">
      <c r="A658" s="401"/>
      <c r="B658" s="400"/>
      <c r="C658" s="429"/>
      <c r="D658" s="397"/>
      <c r="E658" s="397"/>
    </row>
    <row r="659" spans="1:5">
      <c r="A659" s="401"/>
      <c r="B659" s="400"/>
      <c r="C659" s="429"/>
      <c r="D659" s="397"/>
      <c r="E659" s="397"/>
    </row>
    <row r="660" spans="1:5">
      <c r="A660" s="401"/>
      <c r="B660" s="400"/>
      <c r="C660" s="429"/>
      <c r="D660" s="397"/>
      <c r="E660" s="397"/>
    </row>
    <row r="661" spans="1:5">
      <c r="A661" s="401"/>
      <c r="B661" s="400"/>
      <c r="C661" s="429"/>
      <c r="D661" s="397"/>
      <c r="E661" s="397"/>
    </row>
    <row r="662" spans="1:5">
      <c r="A662" s="401"/>
      <c r="B662" s="400"/>
      <c r="C662" s="429"/>
      <c r="D662" s="397"/>
      <c r="E662" s="397"/>
    </row>
    <row r="663" spans="1:5">
      <c r="A663" s="401"/>
      <c r="B663" s="400"/>
      <c r="C663" s="429"/>
      <c r="D663" s="397"/>
      <c r="E663" s="397"/>
    </row>
    <row r="664" spans="1:5">
      <c r="A664" s="401"/>
      <c r="B664" s="400"/>
      <c r="C664" s="429"/>
      <c r="D664" s="397"/>
      <c r="E664" s="397"/>
    </row>
    <row r="665" spans="1:5">
      <c r="A665" s="401"/>
      <c r="B665" s="400"/>
      <c r="C665" s="429"/>
      <c r="D665" s="397"/>
      <c r="E665" s="397"/>
    </row>
    <row r="666" spans="1:5">
      <c r="A666" s="401"/>
      <c r="B666" s="400"/>
      <c r="C666" s="429"/>
      <c r="D666" s="397"/>
      <c r="E666" s="397"/>
    </row>
    <row r="667" spans="1:5">
      <c r="A667" s="401"/>
      <c r="B667" s="400"/>
      <c r="C667" s="429"/>
      <c r="D667" s="397"/>
      <c r="E667" s="397"/>
    </row>
    <row r="668" spans="1:5">
      <c r="A668" s="401"/>
      <c r="B668" s="400"/>
      <c r="C668" s="429"/>
      <c r="D668" s="397"/>
      <c r="E668" s="397"/>
    </row>
    <row r="669" spans="1:5">
      <c r="A669" s="401"/>
      <c r="B669" s="400"/>
      <c r="C669" s="429"/>
      <c r="D669" s="397"/>
      <c r="E669" s="397"/>
    </row>
    <row r="670" spans="1:5">
      <c r="A670" s="401"/>
      <c r="B670" s="400"/>
      <c r="C670" s="429"/>
      <c r="D670" s="397"/>
      <c r="E670" s="397"/>
    </row>
    <row r="671" spans="1:5">
      <c r="A671" s="401"/>
      <c r="B671" s="400"/>
      <c r="C671" s="429"/>
      <c r="D671" s="397"/>
      <c r="E671" s="397"/>
    </row>
    <row r="672" spans="1:5">
      <c r="A672" s="401"/>
      <c r="B672" s="400"/>
      <c r="C672" s="429"/>
      <c r="D672" s="397"/>
      <c r="E672" s="397"/>
    </row>
    <row r="673" spans="1:5">
      <c r="A673" s="401"/>
      <c r="B673" s="400"/>
      <c r="C673" s="429"/>
      <c r="D673" s="397"/>
      <c r="E673" s="397"/>
    </row>
    <row r="674" spans="1:5">
      <c r="A674" s="401"/>
      <c r="B674" s="400"/>
      <c r="C674" s="429"/>
      <c r="D674" s="397"/>
      <c r="E674" s="397"/>
    </row>
    <row r="675" spans="1:5">
      <c r="A675" s="401"/>
      <c r="B675" s="400"/>
      <c r="C675" s="429"/>
      <c r="D675" s="397"/>
      <c r="E675" s="397"/>
    </row>
    <row r="676" spans="1:5">
      <c r="A676" s="401"/>
      <c r="B676" s="400"/>
      <c r="C676" s="429"/>
      <c r="D676" s="397"/>
      <c r="E676" s="397"/>
    </row>
    <row r="677" spans="1:5">
      <c r="A677" s="401"/>
      <c r="B677" s="400"/>
      <c r="C677" s="429"/>
      <c r="D677" s="397"/>
      <c r="E677" s="397"/>
    </row>
    <row r="678" spans="1:5">
      <c r="A678" s="401"/>
      <c r="B678" s="400"/>
      <c r="C678" s="429"/>
      <c r="D678" s="397"/>
      <c r="E678" s="397"/>
    </row>
    <row r="679" spans="1:5">
      <c r="A679" s="401"/>
      <c r="B679" s="400"/>
      <c r="C679" s="429"/>
      <c r="D679" s="397"/>
      <c r="E679" s="397"/>
    </row>
    <row r="680" spans="1:5">
      <c r="A680" s="401"/>
      <c r="B680" s="400"/>
      <c r="C680" s="429"/>
      <c r="D680" s="397"/>
      <c r="E680" s="397"/>
    </row>
    <row r="681" spans="1:5">
      <c r="A681" s="401"/>
      <c r="B681" s="400"/>
      <c r="C681" s="429"/>
      <c r="D681" s="397"/>
      <c r="E681" s="397"/>
    </row>
    <row r="682" spans="1:5">
      <c r="A682" s="401"/>
      <c r="B682" s="400"/>
      <c r="C682" s="429"/>
      <c r="D682" s="397"/>
      <c r="E682" s="397"/>
    </row>
    <row r="683" spans="1:5">
      <c r="A683" s="401"/>
      <c r="B683" s="400"/>
      <c r="C683" s="429"/>
      <c r="D683" s="397"/>
      <c r="E683" s="397"/>
    </row>
    <row r="684" spans="1:5">
      <c r="A684" s="401"/>
      <c r="B684" s="400"/>
      <c r="C684" s="429"/>
      <c r="D684" s="397"/>
      <c r="E684" s="397"/>
    </row>
    <row r="685" spans="1:5">
      <c r="A685" s="401"/>
      <c r="B685" s="400"/>
      <c r="C685" s="429"/>
      <c r="D685" s="397"/>
      <c r="E685" s="397"/>
    </row>
    <row r="686" spans="1:5">
      <c r="A686" s="401"/>
      <c r="B686" s="400"/>
      <c r="C686" s="429"/>
      <c r="D686" s="397"/>
      <c r="E686" s="397"/>
    </row>
    <row r="687" spans="1:5">
      <c r="A687" s="401"/>
      <c r="B687" s="400"/>
      <c r="C687" s="429"/>
      <c r="D687" s="397"/>
      <c r="E687" s="397"/>
    </row>
    <row r="688" spans="1:5">
      <c r="A688" s="401"/>
      <c r="B688" s="400"/>
      <c r="C688" s="429"/>
      <c r="D688" s="397"/>
      <c r="E688" s="397"/>
    </row>
    <row r="689" spans="1:5">
      <c r="A689" s="401"/>
      <c r="B689" s="400"/>
      <c r="C689" s="429"/>
      <c r="D689" s="397"/>
      <c r="E689" s="397"/>
    </row>
    <row r="690" spans="1:5">
      <c r="A690" s="401"/>
      <c r="B690" s="400"/>
      <c r="C690" s="429"/>
      <c r="D690" s="397"/>
      <c r="E690" s="397"/>
    </row>
    <row r="691" spans="1:5">
      <c r="A691" s="401"/>
      <c r="B691" s="400"/>
      <c r="C691" s="429"/>
      <c r="D691" s="397"/>
      <c r="E691" s="397"/>
    </row>
    <row r="692" spans="1:5">
      <c r="A692" s="401"/>
      <c r="B692" s="400"/>
      <c r="C692" s="429"/>
      <c r="D692" s="397"/>
      <c r="E692" s="397"/>
    </row>
    <row r="693" spans="1:5">
      <c r="A693" s="401"/>
      <c r="B693" s="400"/>
      <c r="C693" s="429"/>
      <c r="D693" s="397"/>
      <c r="E693" s="397"/>
    </row>
    <row r="694" spans="1:5">
      <c r="A694" s="401"/>
      <c r="B694" s="400"/>
      <c r="C694" s="429"/>
      <c r="D694" s="397"/>
      <c r="E694" s="397"/>
    </row>
    <row r="695" spans="1:5">
      <c r="A695" s="401"/>
      <c r="B695" s="400"/>
      <c r="C695" s="429"/>
      <c r="D695" s="397"/>
      <c r="E695" s="397"/>
    </row>
    <row r="696" spans="1:5">
      <c r="A696" s="401"/>
      <c r="B696" s="400"/>
      <c r="C696" s="429"/>
      <c r="D696" s="397"/>
      <c r="E696" s="397"/>
    </row>
    <row r="697" spans="1:5">
      <c r="A697" s="401"/>
      <c r="B697" s="400"/>
      <c r="C697" s="429"/>
      <c r="D697" s="397"/>
      <c r="E697" s="397"/>
    </row>
    <row r="698" spans="1:5">
      <c r="A698" s="401"/>
      <c r="B698" s="400"/>
      <c r="C698" s="429"/>
      <c r="D698" s="397"/>
      <c r="E698" s="397"/>
    </row>
    <row r="699" spans="1:5">
      <c r="A699" s="401"/>
      <c r="B699" s="400"/>
      <c r="C699" s="429"/>
      <c r="D699" s="397"/>
      <c r="E699" s="397"/>
    </row>
    <row r="700" spans="1:5">
      <c r="A700" s="401"/>
      <c r="B700" s="400"/>
      <c r="C700" s="429"/>
      <c r="D700" s="397"/>
      <c r="E700" s="397"/>
    </row>
    <row r="701" spans="1:5">
      <c r="A701" s="401"/>
      <c r="B701" s="400"/>
      <c r="C701" s="429"/>
      <c r="D701" s="397"/>
      <c r="E701" s="397"/>
    </row>
    <row r="702" spans="1:5">
      <c r="A702" s="401"/>
      <c r="B702" s="400"/>
      <c r="C702" s="429"/>
      <c r="D702" s="397"/>
      <c r="E702" s="397"/>
    </row>
    <row r="703" spans="1:5">
      <c r="A703" s="401"/>
      <c r="B703" s="400"/>
      <c r="C703" s="429"/>
      <c r="D703" s="397"/>
      <c r="E703" s="397"/>
    </row>
    <row r="704" spans="1:5">
      <c r="A704" s="401"/>
      <c r="B704" s="400"/>
      <c r="C704" s="429"/>
      <c r="D704" s="397"/>
      <c r="E704" s="397"/>
    </row>
    <row r="705" spans="1:5">
      <c r="A705" s="401"/>
      <c r="B705" s="400"/>
      <c r="C705" s="429"/>
      <c r="D705" s="397"/>
      <c r="E705" s="397"/>
    </row>
    <row r="706" spans="1:5">
      <c r="A706" s="401"/>
      <c r="B706" s="400"/>
      <c r="C706" s="429"/>
      <c r="D706" s="397"/>
      <c r="E706" s="397"/>
    </row>
    <row r="707" spans="1:5">
      <c r="A707" s="401"/>
      <c r="B707" s="400"/>
      <c r="C707" s="429"/>
      <c r="D707" s="397"/>
      <c r="E707" s="397"/>
    </row>
    <row r="708" spans="1:5">
      <c r="A708" s="401"/>
      <c r="B708" s="400"/>
      <c r="C708" s="429"/>
      <c r="D708" s="397"/>
      <c r="E708" s="397"/>
    </row>
    <row r="709" spans="1:5">
      <c r="A709" s="401"/>
      <c r="B709" s="400"/>
      <c r="C709" s="429"/>
      <c r="D709" s="397"/>
      <c r="E709" s="397"/>
    </row>
    <row r="710" spans="1:5">
      <c r="A710" s="401"/>
      <c r="B710" s="400"/>
      <c r="C710" s="429"/>
      <c r="D710" s="397"/>
      <c r="E710" s="397"/>
    </row>
    <row r="711" spans="1:5">
      <c r="A711" s="401"/>
      <c r="B711" s="400"/>
      <c r="C711" s="429"/>
      <c r="D711" s="397"/>
      <c r="E711" s="397"/>
    </row>
    <row r="712" spans="1:5">
      <c r="A712" s="401"/>
      <c r="B712" s="400"/>
      <c r="C712" s="429"/>
      <c r="D712" s="397"/>
      <c r="E712" s="397"/>
    </row>
    <row r="713" spans="1:5">
      <c r="A713" s="401"/>
      <c r="B713" s="400"/>
      <c r="C713" s="429"/>
      <c r="D713" s="397"/>
      <c r="E713" s="397"/>
    </row>
    <row r="714" spans="1:5">
      <c r="A714" s="401"/>
      <c r="B714" s="400"/>
      <c r="C714" s="429"/>
      <c r="D714" s="397"/>
      <c r="E714" s="397"/>
    </row>
    <row r="715" spans="1:5">
      <c r="A715" s="401"/>
      <c r="B715" s="400"/>
      <c r="C715" s="429"/>
      <c r="D715" s="397"/>
      <c r="E715" s="397"/>
    </row>
    <row r="716" spans="1:5">
      <c r="A716" s="401"/>
      <c r="B716" s="400"/>
      <c r="C716" s="429"/>
      <c r="D716" s="397"/>
      <c r="E716" s="397"/>
    </row>
    <row r="717" spans="1:5">
      <c r="A717" s="401"/>
      <c r="B717" s="400"/>
      <c r="C717" s="429"/>
      <c r="D717" s="397"/>
      <c r="E717" s="397"/>
    </row>
    <row r="718" spans="1:5">
      <c r="A718" s="401"/>
      <c r="B718" s="400"/>
      <c r="C718" s="429"/>
      <c r="D718" s="397"/>
      <c r="E718" s="397"/>
    </row>
    <row r="719" spans="1:5">
      <c r="A719" s="401"/>
      <c r="B719" s="400"/>
      <c r="C719" s="429"/>
      <c r="D719" s="397"/>
      <c r="E719" s="397"/>
    </row>
    <row r="720" spans="1:5">
      <c r="A720" s="401"/>
      <c r="B720" s="400"/>
      <c r="C720" s="429"/>
      <c r="D720" s="397"/>
      <c r="E720" s="397"/>
    </row>
    <row r="721" spans="1:5">
      <c r="A721" s="401"/>
      <c r="B721" s="400"/>
      <c r="C721" s="429"/>
      <c r="D721" s="397"/>
      <c r="E721" s="397"/>
    </row>
    <row r="722" spans="1:5">
      <c r="A722" s="401"/>
      <c r="B722" s="400"/>
      <c r="C722" s="429"/>
      <c r="D722" s="397"/>
      <c r="E722" s="397"/>
    </row>
    <row r="723" spans="1:5">
      <c r="A723" s="401"/>
      <c r="B723" s="400"/>
      <c r="C723" s="429"/>
      <c r="D723" s="397"/>
      <c r="E723" s="397"/>
    </row>
    <row r="724" spans="1:5">
      <c r="A724" s="401"/>
      <c r="B724" s="400"/>
      <c r="C724" s="429"/>
      <c r="D724" s="397"/>
      <c r="E724" s="397"/>
    </row>
    <row r="725" spans="1:5">
      <c r="A725" s="401"/>
      <c r="B725" s="400"/>
      <c r="C725" s="429"/>
      <c r="D725" s="397"/>
      <c r="E725" s="397"/>
    </row>
    <row r="726" spans="1:5">
      <c r="A726" s="401"/>
      <c r="B726" s="400"/>
      <c r="C726" s="429"/>
      <c r="D726" s="397"/>
      <c r="E726" s="397"/>
    </row>
    <row r="727" spans="1:5">
      <c r="A727" s="401"/>
      <c r="B727" s="400"/>
      <c r="C727" s="429"/>
      <c r="D727" s="397"/>
      <c r="E727" s="397"/>
    </row>
    <row r="728" spans="1:5">
      <c r="A728" s="401"/>
      <c r="B728" s="400"/>
      <c r="C728" s="429"/>
      <c r="D728" s="397"/>
      <c r="E728" s="397"/>
    </row>
    <row r="729" spans="1:5">
      <c r="A729" s="401"/>
      <c r="B729" s="400"/>
      <c r="C729" s="429"/>
      <c r="D729" s="397"/>
      <c r="E729" s="397"/>
    </row>
    <row r="730" spans="1:5">
      <c r="A730" s="401"/>
      <c r="B730" s="400"/>
      <c r="C730" s="429"/>
      <c r="D730" s="397"/>
      <c r="E730" s="397"/>
    </row>
    <row r="731" spans="1:5">
      <c r="A731" s="401"/>
      <c r="B731" s="400"/>
      <c r="C731" s="429"/>
      <c r="D731" s="397"/>
      <c r="E731" s="397"/>
    </row>
    <row r="732" spans="1:5">
      <c r="A732" s="401"/>
      <c r="B732" s="400"/>
      <c r="C732" s="429"/>
      <c r="D732" s="397"/>
      <c r="E732" s="397"/>
    </row>
    <row r="733" spans="1:5">
      <c r="A733" s="401"/>
      <c r="B733" s="400"/>
      <c r="C733" s="429"/>
      <c r="D733" s="397"/>
      <c r="E733" s="397"/>
    </row>
    <row r="734" spans="1:5">
      <c r="A734" s="401"/>
      <c r="B734" s="400"/>
      <c r="C734" s="429"/>
      <c r="D734" s="397"/>
      <c r="E734" s="397"/>
    </row>
    <row r="735" spans="1:5">
      <c r="A735" s="401"/>
      <c r="B735" s="400"/>
      <c r="C735" s="429"/>
      <c r="D735" s="397"/>
      <c r="E735" s="397"/>
    </row>
    <row r="736" spans="1:5">
      <c r="A736" s="401"/>
      <c r="B736" s="400"/>
      <c r="C736" s="429"/>
      <c r="D736" s="397"/>
      <c r="E736" s="397"/>
    </row>
    <row r="737" spans="1:5">
      <c r="A737" s="401"/>
      <c r="B737" s="400"/>
      <c r="C737" s="429"/>
      <c r="D737" s="397"/>
      <c r="E737" s="397"/>
    </row>
    <row r="738" spans="1:5">
      <c r="A738" s="401"/>
      <c r="B738" s="400"/>
      <c r="C738" s="429"/>
      <c r="D738" s="397"/>
      <c r="E738" s="397"/>
    </row>
    <row r="739" spans="1:5">
      <c r="A739" s="401"/>
      <c r="B739" s="400"/>
      <c r="C739" s="429"/>
      <c r="D739" s="397"/>
      <c r="E739" s="397"/>
    </row>
    <row r="740" spans="1:5">
      <c r="A740" s="401"/>
      <c r="B740" s="400"/>
      <c r="C740" s="429"/>
      <c r="D740" s="397"/>
      <c r="E740" s="397"/>
    </row>
    <row r="741" spans="1:5">
      <c r="A741" s="401"/>
      <c r="B741" s="400"/>
      <c r="C741" s="429"/>
      <c r="D741" s="397"/>
      <c r="E741" s="397"/>
    </row>
    <row r="742" spans="1:5">
      <c r="A742" s="401"/>
      <c r="B742" s="400"/>
      <c r="C742" s="429"/>
      <c r="D742" s="397"/>
      <c r="E742" s="397"/>
    </row>
    <row r="743" spans="1:5">
      <c r="A743" s="401"/>
      <c r="B743" s="400"/>
      <c r="C743" s="429"/>
      <c r="D743" s="397"/>
      <c r="E743" s="397"/>
    </row>
    <row r="744" spans="1:5">
      <c r="A744" s="401"/>
      <c r="B744" s="400"/>
      <c r="C744" s="429"/>
      <c r="D744" s="397"/>
      <c r="E744" s="397"/>
    </row>
    <row r="745" spans="1:5">
      <c r="A745" s="401"/>
      <c r="B745" s="400"/>
      <c r="C745" s="429"/>
      <c r="D745" s="397"/>
      <c r="E745" s="397"/>
    </row>
    <row r="746" spans="1:5">
      <c r="A746" s="401"/>
      <c r="B746" s="400"/>
      <c r="C746" s="429"/>
      <c r="D746" s="397"/>
      <c r="E746" s="397"/>
    </row>
    <row r="747" spans="1:5">
      <c r="A747" s="401"/>
      <c r="B747" s="400"/>
      <c r="C747" s="429"/>
      <c r="D747" s="397"/>
      <c r="E747" s="397"/>
    </row>
    <row r="748" spans="1:5">
      <c r="A748" s="401"/>
      <c r="B748" s="400"/>
      <c r="C748" s="429"/>
      <c r="D748" s="397"/>
      <c r="E748" s="397"/>
    </row>
    <row r="749" spans="1:5">
      <c r="A749" s="401"/>
      <c r="B749" s="400"/>
      <c r="C749" s="429"/>
      <c r="D749" s="397"/>
      <c r="E749" s="397"/>
    </row>
    <row r="750" spans="1:5">
      <c r="A750" s="401"/>
      <c r="B750" s="400"/>
      <c r="C750" s="429"/>
      <c r="D750" s="397"/>
      <c r="E750" s="397"/>
    </row>
    <row r="751" spans="1:5">
      <c r="A751" s="401"/>
      <c r="B751" s="400"/>
      <c r="C751" s="429"/>
      <c r="D751" s="397"/>
      <c r="E751" s="397"/>
    </row>
    <row r="752" spans="1:5">
      <c r="A752" s="401"/>
      <c r="B752" s="400"/>
      <c r="C752" s="429"/>
      <c r="D752" s="397"/>
      <c r="E752" s="397"/>
    </row>
    <row r="753" spans="1:5">
      <c r="A753" s="401"/>
      <c r="B753" s="400"/>
      <c r="C753" s="429"/>
      <c r="D753" s="397"/>
      <c r="E753" s="397"/>
    </row>
    <row r="754" spans="1:5">
      <c r="A754" s="401"/>
      <c r="B754" s="400"/>
      <c r="C754" s="429"/>
      <c r="D754" s="397"/>
      <c r="E754" s="397"/>
    </row>
    <row r="755" spans="1:5">
      <c r="A755" s="401"/>
      <c r="B755" s="400"/>
      <c r="C755" s="429"/>
      <c r="D755" s="397"/>
      <c r="E755" s="397"/>
    </row>
    <row r="756" spans="1:5">
      <c r="A756" s="401"/>
      <c r="B756" s="400"/>
      <c r="C756" s="429"/>
      <c r="D756" s="397"/>
      <c r="E756" s="397"/>
    </row>
    <row r="757" spans="1:5">
      <c r="A757" s="401"/>
      <c r="B757" s="400"/>
      <c r="C757" s="429"/>
      <c r="D757" s="397"/>
      <c r="E757" s="397"/>
    </row>
    <row r="758" spans="1:5">
      <c r="A758" s="401"/>
      <c r="B758" s="400"/>
      <c r="C758" s="429"/>
      <c r="D758" s="397"/>
      <c r="E758" s="397"/>
    </row>
    <row r="759" spans="1:5">
      <c r="A759" s="401"/>
      <c r="B759" s="400"/>
      <c r="C759" s="429"/>
      <c r="D759" s="397"/>
      <c r="E759" s="397"/>
    </row>
    <row r="760" spans="1:5">
      <c r="A760" s="401"/>
      <c r="B760" s="400"/>
      <c r="C760" s="429"/>
      <c r="D760" s="397"/>
      <c r="E760" s="397"/>
    </row>
    <row r="761" spans="1:5">
      <c r="A761" s="401"/>
      <c r="B761" s="400"/>
      <c r="C761" s="429"/>
      <c r="D761" s="397"/>
      <c r="E761" s="397"/>
    </row>
    <row r="762" spans="1:5">
      <c r="A762" s="401"/>
      <c r="B762" s="400"/>
      <c r="C762" s="429"/>
      <c r="D762" s="397"/>
      <c r="E762" s="397"/>
    </row>
    <row r="763" spans="1:5">
      <c r="A763" s="401"/>
      <c r="B763" s="400"/>
      <c r="C763" s="429"/>
      <c r="D763" s="397"/>
      <c r="E763" s="397"/>
    </row>
    <row r="764" spans="1:5">
      <c r="A764" s="401"/>
      <c r="B764" s="400"/>
      <c r="C764" s="429"/>
      <c r="D764" s="397"/>
      <c r="E764" s="397"/>
    </row>
    <row r="765" spans="1:5">
      <c r="A765" s="401"/>
      <c r="B765" s="400"/>
      <c r="C765" s="429"/>
      <c r="D765" s="397"/>
      <c r="E765" s="397"/>
    </row>
    <row r="766" spans="1:5">
      <c r="A766" s="401"/>
      <c r="B766" s="400"/>
      <c r="C766" s="429"/>
      <c r="D766" s="397"/>
      <c r="E766" s="397"/>
    </row>
    <row r="767" spans="1:5">
      <c r="A767" s="401"/>
      <c r="B767" s="400"/>
      <c r="C767" s="429"/>
      <c r="D767" s="397"/>
      <c r="E767" s="397"/>
    </row>
    <row r="768" spans="1:5">
      <c r="A768" s="401"/>
      <c r="B768" s="400"/>
      <c r="C768" s="429"/>
      <c r="D768" s="397"/>
      <c r="E768" s="397"/>
    </row>
    <row r="769" spans="1:5">
      <c r="A769" s="401"/>
      <c r="B769" s="400"/>
      <c r="C769" s="429"/>
      <c r="D769" s="397"/>
      <c r="E769" s="397"/>
    </row>
    <row r="770" spans="1:5">
      <c r="A770" s="401"/>
      <c r="B770" s="400"/>
      <c r="C770" s="429"/>
      <c r="D770" s="397"/>
      <c r="E770" s="397"/>
    </row>
    <row r="771" spans="1:5">
      <c r="A771" s="401"/>
      <c r="B771" s="400"/>
      <c r="C771" s="429"/>
      <c r="D771" s="397"/>
      <c r="E771" s="397"/>
    </row>
    <row r="772" spans="1:5">
      <c r="A772" s="401"/>
      <c r="B772" s="400"/>
      <c r="C772" s="429"/>
      <c r="D772" s="397"/>
      <c r="E772" s="397"/>
    </row>
    <row r="773" spans="1:5">
      <c r="A773" s="401"/>
      <c r="B773" s="400"/>
      <c r="C773" s="429"/>
      <c r="D773" s="397"/>
      <c r="E773" s="397"/>
    </row>
    <row r="774" spans="1:5">
      <c r="A774" s="401"/>
      <c r="B774" s="400"/>
      <c r="C774" s="429"/>
      <c r="D774" s="397"/>
      <c r="E774" s="397"/>
    </row>
    <row r="775" spans="1:5">
      <c r="A775" s="401"/>
      <c r="B775" s="400"/>
      <c r="C775" s="429"/>
      <c r="D775" s="397"/>
      <c r="E775" s="397"/>
    </row>
    <row r="776" spans="1:5">
      <c r="A776" s="401"/>
      <c r="B776" s="400"/>
      <c r="C776" s="429"/>
      <c r="D776" s="397"/>
      <c r="E776" s="397"/>
    </row>
    <row r="777" spans="1:5">
      <c r="A777" s="401"/>
      <c r="B777" s="400"/>
      <c r="C777" s="429"/>
      <c r="D777" s="397"/>
      <c r="E777" s="397"/>
    </row>
    <row r="778" spans="1:5">
      <c r="A778" s="401"/>
      <c r="B778" s="400"/>
      <c r="C778" s="429"/>
      <c r="D778" s="397"/>
      <c r="E778" s="397"/>
    </row>
    <row r="779" spans="1:5">
      <c r="A779" s="401"/>
      <c r="B779" s="400"/>
      <c r="C779" s="429"/>
      <c r="D779" s="397"/>
      <c r="E779" s="397"/>
    </row>
    <row r="780" spans="1:5">
      <c r="A780" s="401"/>
      <c r="B780" s="400"/>
      <c r="C780" s="429"/>
      <c r="D780" s="397"/>
      <c r="E780" s="397"/>
    </row>
    <row r="781" spans="1:5">
      <c r="A781" s="401"/>
      <c r="B781" s="400"/>
      <c r="C781" s="429"/>
      <c r="D781" s="397"/>
      <c r="E781" s="397"/>
    </row>
    <row r="782" spans="1:5">
      <c r="A782" s="401"/>
      <c r="B782" s="400"/>
      <c r="C782" s="429"/>
      <c r="D782" s="397"/>
      <c r="E782" s="397"/>
    </row>
    <row r="783" spans="1:5">
      <c r="A783" s="401"/>
      <c r="B783" s="400"/>
      <c r="C783" s="429"/>
      <c r="D783" s="397"/>
      <c r="E783" s="397"/>
    </row>
    <row r="784" spans="1:5">
      <c r="A784" s="401"/>
      <c r="B784" s="400"/>
      <c r="C784" s="429"/>
      <c r="D784" s="397"/>
      <c r="E784" s="397"/>
    </row>
    <row r="785" spans="1:5">
      <c r="A785" s="401"/>
      <c r="B785" s="400"/>
      <c r="C785" s="429"/>
      <c r="D785" s="397"/>
      <c r="E785" s="397"/>
    </row>
    <row r="786" spans="1:5">
      <c r="A786" s="401"/>
      <c r="B786" s="400"/>
      <c r="C786" s="429"/>
      <c r="D786" s="397"/>
      <c r="E786" s="397"/>
    </row>
    <row r="787" spans="1:5">
      <c r="A787" s="401"/>
      <c r="B787" s="400"/>
      <c r="C787" s="429"/>
      <c r="D787" s="397"/>
      <c r="E787" s="397"/>
    </row>
    <row r="788" spans="1:5">
      <c r="A788" s="401"/>
      <c r="B788" s="400"/>
      <c r="C788" s="429"/>
      <c r="D788" s="397"/>
      <c r="E788" s="397"/>
    </row>
    <row r="789" spans="1:5">
      <c r="A789" s="401"/>
      <c r="B789" s="400"/>
      <c r="C789" s="429"/>
      <c r="D789" s="397"/>
      <c r="E789" s="397"/>
    </row>
    <row r="790" spans="1:5">
      <c r="A790" s="401"/>
      <c r="B790" s="400"/>
      <c r="C790" s="429"/>
      <c r="D790" s="397"/>
      <c r="E790" s="397"/>
    </row>
    <row r="791" spans="1:5">
      <c r="A791" s="401"/>
      <c r="B791" s="400"/>
      <c r="C791" s="429"/>
      <c r="D791" s="397"/>
      <c r="E791" s="397"/>
    </row>
    <row r="792" spans="1:5">
      <c r="A792" s="401"/>
      <c r="B792" s="400"/>
      <c r="C792" s="429"/>
      <c r="D792" s="397"/>
      <c r="E792" s="397"/>
    </row>
    <row r="793" spans="1:5">
      <c r="A793" s="401"/>
      <c r="B793" s="400"/>
      <c r="C793" s="429"/>
      <c r="D793" s="397"/>
      <c r="E793" s="397"/>
    </row>
    <row r="794" spans="1:5">
      <c r="A794" s="401"/>
      <c r="B794" s="400"/>
      <c r="C794" s="429"/>
      <c r="D794" s="397"/>
      <c r="E794" s="397"/>
    </row>
    <row r="795" spans="1:5">
      <c r="A795" s="401"/>
      <c r="B795" s="400"/>
      <c r="C795" s="429"/>
      <c r="D795" s="397"/>
      <c r="E795" s="397"/>
    </row>
    <row r="796" spans="1:5">
      <c r="A796" s="401"/>
      <c r="B796" s="400"/>
      <c r="C796" s="429"/>
      <c r="D796" s="397"/>
      <c r="E796" s="397"/>
    </row>
    <row r="797" spans="1:5">
      <c r="A797" s="401"/>
      <c r="B797" s="400"/>
      <c r="C797" s="429"/>
      <c r="D797" s="397"/>
      <c r="E797" s="397"/>
    </row>
    <row r="798" spans="1:5">
      <c r="A798" s="401"/>
      <c r="B798" s="400"/>
      <c r="C798" s="429"/>
      <c r="D798" s="397"/>
      <c r="E798" s="397"/>
    </row>
    <row r="799" spans="1:5">
      <c r="A799" s="401"/>
      <c r="B799" s="400"/>
      <c r="C799" s="429"/>
      <c r="D799" s="397"/>
      <c r="E799" s="397"/>
    </row>
    <row r="800" spans="1:5">
      <c r="A800" s="401"/>
      <c r="B800" s="400"/>
      <c r="C800" s="429"/>
      <c r="D800" s="397"/>
      <c r="E800" s="397"/>
    </row>
    <row r="801" spans="1:5">
      <c r="A801" s="401"/>
      <c r="B801" s="400"/>
      <c r="C801" s="429"/>
      <c r="D801" s="397"/>
      <c r="E801" s="397"/>
    </row>
    <row r="802" spans="1:5">
      <c r="A802" s="401"/>
      <c r="B802" s="400"/>
      <c r="C802" s="429"/>
      <c r="D802" s="397"/>
      <c r="E802" s="397"/>
    </row>
    <row r="803" spans="1:5">
      <c r="A803" s="401"/>
      <c r="B803" s="400"/>
      <c r="C803" s="429"/>
      <c r="D803" s="397"/>
      <c r="E803" s="397"/>
    </row>
    <row r="804" spans="1:5">
      <c r="A804" s="401"/>
      <c r="B804" s="400"/>
      <c r="C804" s="429"/>
      <c r="D804" s="397"/>
      <c r="E804" s="397"/>
    </row>
    <row r="805" spans="1:5">
      <c r="A805" s="401"/>
      <c r="B805" s="400"/>
      <c r="C805" s="429"/>
      <c r="D805" s="397"/>
      <c r="E805" s="397"/>
    </row>
    <row r="806" spans="1:5">
      <c r="A806" s="401"/>
      <c r="B806" s="400"/>
      <c r="C806" s="429"/>
      <c r="D806" s="397"/>
      <c r="E806" s="397"/>
    </row>
    <row r="807" spans="1:5">
      <c r="A807" s="401"/>
      <c r="B807" s="400"/>
      <c r="C807" s="429"/>
      <c r="D807" s="397"/>
      <c r="E807" s="397"/>
    </row>
    <row r="808" spans="1:5">
      <c r="A808" s="401"/>
      <c r="B808" s="400"/>
      <c r="C808" s="429"/>
      <c r="D808" s="397"/>
      <c r="E808" s="397"/>
    </row>
    <row r="809" spans="1:5">
      <c r="A809" s="401"/>
      <c r="B809" s="400"/>
      <c r="C809" s="429"/>
      <c r="D809" s="397"/>
      <c r="E809" s="397"/>
    </row>
    <row r="810" spans="1:5">
      <c r="A810" s="401"/>
      <c r="B810" s="400"/>
      <c r="C810" s="429"/>
      <c r="D810" s="397"/>
      <c r="E810" s="397"/>
    </row>
    <row r="811" spans="1:5">
      <c r="A811" s="401"/>
      <c r="B811" s="400"/>
      <c r="C811" s="429"/>
      <c r="D811" s="397"/>
      <c r="E811" s="397"/>
    </row>
    <row r="812" spans="1:5">
      <c r="A812" s="401"/>
      <c r="B812" s="400"/>
      <c r="C812" s="429"/>
      <c r="D812" s="397"/>
      <c r="E812" s="397"/>
    </row>
    <row r="813" spans="1:5">
      <c r="A813" s="401"/>
      <c r="B813" s="400"/>
      <c r="C813" s="429"/>
      <c r="D813" s="397"/>
      <c r="E813" s="397"/>
    </row>
    <row r="814" spans="1:5">
      <c r="A814" s="401"/>
      <c r="B814" s="400"/>
      <c r="C814" s="429"/>
      <c r="D814" s="397"/>
      <c r="E814" s="397"/>
    </row>
    <row r="815" spans="1:5">
      <c r="A815" s="401"/>
      <c r="B815" s="400"/>
      <c r="C815" s="429"/>
      <c r="D815" s="397"/>
      <c r="E815" s="397"/>
    </row>
    <row r="816" spans="1:5">
      <c r="A816" s="401"/>
      <c r="B816" s="400"/>
      <c r="C816" s="429"/>
      <c r="D816" s="397"/>
      <c r="E816" s="397"/>
    </row>
    <row r="817" spans="1:5">
      <c r="A817" s="401"/>
      <c r="B817" s="400"/>
      <c r="C817" s="429"/>
      <c r="D817" s="397"/>
      <c r="E817" s="397"/>
    </row>
    <row r="818" spans="1:5">
      <c r="A818" s="401"/>
      <c r="B818" s="400"/>
      <c r="C818" s="429"/>
      <c r="D818" s="397"/>
      <c r="E818" s="397"/>
    </row>
    <row r="819" spans="1:5">
      <c r="A819" s="401"/>
      <c r="B819" s="400"/>
      <c r="C819" s="429"/>
      <c r="D819" s="397"/>
      <c r="E819" s="397"/>
    </row>
    <row r="820" spans="1:5">
      <c r="A820" s="401"/>
      <c r="B820" s="400"/>
      <c r="C820" s="429"/>
      <c r="D820" s="397"/>
      <c r="E820" s="397"/>
    </row>
    <row r="821" spans="1:5">
      <c r="A821" s="401"/>
      <c r="B821" s="400"/>
      <c r="C821" s="429"/>
      <c r="D821" s="397"/>
      <c r="E821" s="397"/>
    </row>
    <row r="822" spans="1:5">
      <c r="A822" s="401"/>
      <c r="B822" s="400"/>
      <c r="C822" s="429"/>
      <c r="D822" s="397"/>
      <c r="E822" s="397"/>
    </row>
    <row r="823" spans="1:5">
      <c r="A823" s="401"/>
      <c r="B823" s="400"/>
      <c r="C823" s="429"/>
      <c r="D823" s="397"/>
      <c r="E823" s="397"/>
    </row>
    <row r="824" spans="1:5">
      <c r="A824" s="401"/>
      <c r="B824" s="400"/>
      <c r="C824" s="429"/>
      <c r="D824" s="397"/>
      <c r="E824" s="397"/>
    </row>
    <row r="825" spans="1:5">
      <c r="A825" s="401"/>
      <c r="B825" s="400"/>
      <c r="C825" s="429"/>
      <c r="D825" s="397"/>
      <c r="E825" s="397"/>
    </row>
    <row r="826" spans="1:5">
      <c r="A826" s="401"/>
      <c r="B826" s="400"/>
      <c r="C826" s="429"/>
      <c r="D826" s="397"/>
      <c r="E826" s="397"/>
    </row>
    <row r="827" spans="1:5">
      <c r="A827" s="401"/>
      <c r="B827" s="400"/>
      <c r="C827" s="429"/>
      <c r="D827" s="397"/>
      <c r="E827" s="397"/>
    </row>
    <row r="828" spans="1:5">
      <c r="A828" s="401"/>
      <c r="B828" s="400"/>
      <c r="C828" s="429"/>
      <c r="D828" s="397"/>
      <c r="E828" s="397"/>
    </row>
    <row r="829" spans="1:5">
      <c r="A829" s="401"/>
      <c r="B829" s="400"/>
      <c r="C829" s="429"/>
      <c r="D829" s="397"/>
      <c r="E829" s="397"/>
    </row>
    <row r="830" spans="1:5">
      <c r="A830" s="401"/>
      <c r="B830" s="400"/>
      <c r="C830" s="429"/>
      <c r="D830" s="397"/>
      <c r="E830" s="397"/>
    </row>
    <row r="831" spans="1:5">
      <c r="A831" s="401"/>
      <c r="B831" s="400"/>
      <c r="C831" s="429"/>
      <c r="D831" s="397"/>
      <c r="E831" s="397"/>
    </row>
    <row r="832" spans="1:5">
      <c r="A832" s="401"/>
      <c r="B832" s="400"/>
      <c r="C832" s="429"/>
      <c r="D832" s="397"/>
      <c r="E832" s="397"/>
    </row>
    <row r="833" spans="1:5">
      <c r="A833" s="401"/>
      <c r="B833" s="400"/>
      <c r="C833" s="429"/>
      <c r="D833" s="397"/>
      <c r="E833" s="397"/>
    </row>
    <row r="834" spans="1:5">
      <c r="A834" s="401"/>
      <c r="B834" s="400"/>
      <c r="C834" s="429"/>
      <c r="D834" s="397"/>
      <c r="E834" s="397"/>
    </row>
    <row r="835" spans="1:5">
      <c r="A835" s="401"/>
      <c r="B835" s="400"/>
      <c r="C835" s="429"/>
      <c r="D835" s="397"/>
      <c r="E835" s="397"/>
    </row>
    <row r="836" spans="1:5">
      <c r="A836" s="401"/>
      <c r="B836" s="400"/>
      <c r="C836" s="429"/>
      <c r="D836" s="397"/>
      <c r="E836" s="397"/>
    </row>
    <row r="837" spans="1:5">
      <c r="A837" s="401"/>
      <c r="B837" s="400"/>
      <c r="C837" s="429"/>
      <c r="D837" s="397"/>
      <c r="E837" s="397"/>
    </row>
    <row r="838" spans="1:5">
      <c r="A838" s="401"/>
      <c r="B838" s="400"/>
      <c r="C838" s="429"/>
      <c r="D838" s="397"/>
      <c r="E838" s="397"/>
    </row>
    <row r="839" spans="1:5">
      <c r="A839" s="401"/>
      <c r="B839" s="400"/>
      <c r="C839" s="429"/>
      <c r="D839" s="397"/>
      <c r="E839" s="397"/>
    </row>
    <row r="840" spans="1:5">
      <c r="A840" s="401"/>
      <c r="B840" s="400"/>
      <c r="C840" s="429"/>
      <c r="D840" s="397"/>
      <c r="E840" s="397"/>
    </row>
    <row r="841" spans="1:5">
      <c r="A841" s="401"/>
      <c r="B841" s="400"/>
      <c r="C841" s="429"/>
      <c r="D841" s="397"/>
      <c r="E841" s="397"/>
    </row>
    <row r="842" spans="1:5">
      <c r="A842" s="401"/>
      <c r="B842" s="400"/>
      <c r="C842" s="429"/>
      <c r="D842" s="397"/>
      <c r="E842" s="397"/>
    </row>
    <row r="843" spans="1:5">
      <c r="A843" s="401"/>
      <c r="B843" s="400"/>
      <c r="C843" s="429"/>
      <c r="D843" s="397"/>
      <c r="E843" s="397"/>
    </row>
    <row r="844" spans="1:5">
      <c r="A844" s="401"/>
      <c r="B844" s="400"/>
      <c r="C844" s="429"/>
      <c r="D844" s="397"/>
      <c r="E844" s="397"/>
    </row>
    <row r="845" spans="1:5">
      <c r="A845" s="401"/>
      <c r="B845" s="400"/>
      <c r="C845" s="429"/>
      <c r="D845" s="397"/>
      <c r="E845" s="397"/>
    </row>
    <row r="846" spans="1:5">
      <c r="A846" s="401"/>
      <c r="B846" s="400"/>
      <c r="C846" s="429"/>
      <c r="D846" s="397"/>
      <c r="E846" s="397"/>
    </row>
    <row r="847" spans="1:5">
      <c r="A847" s="401"/>
      <c r="B847" s="400"/>
      <c r="C847" s="429"/>
      <c r="D847" s="397"/>
      <c r="E847" s="397"/>
    </row>
    <row r="848" spans="1:5">
      <c r="A848" s="401"/>
      <c r="B848" s="400"/>
      <c r="C848" s="429"/>
      <c r="D848" s="397"/>
      <c r="E848" s="397"/>
    </row>
    <row r="849" spans="1:5">
      <c r="A849" s="401"/>
      <c r="B849" s="400"/>
      <c r="C849" s="429"/>
      <c r="D849" s="397"/>
      <c r="E849" s="397"/>
    </row>
    <row r="850" spans="1:5">
      <c r="A850" s="401"/>
      <c r="B850" s="400"/>
      <c r="C850" s="429"/>
      <c r="D850" s="397"/>
      <c r="E850" s="397"/>
    </row>
    <row r="851" spans="1:5">
      <c r="A851" s="401"/>
      <c r="B851" s="400"/>
      <c r="C851" s="429"/>
      <c r="D851" s="397"/>
      <c r="E851" s="397"/>
    </row>
    <row r="852" spans="1:5">
      <c r="A852" s="401"/>
      <c r="B852" s="400"/>
      <c r="C852" s="429"/>
      <c r="D852" s="397"/>
      <c r="E852" s="397"/>
    </row>
    <row r="853" spans="1:5">
      <c r="A853" s="401"/>
      <c r="B853" s="400"/>
      <c r="C853" s="429"/>
      <c r="D853" s="397"/>
      <c r="E853" s="397"/>
    </row>
    <row r="854" spans="1:5">
      <c r="A854" s="401"/>
      <c r="B854" s="400"/>
      <c r="C854" s="429"/>
      <c r="D854" s="397"/>
      <c r="E854" s="397"/>
    </row>
    <row r="855" spans="1:5">
      <c r="A855" s="401"/>
      <c r="B855" s="400"/>
      <c r="C855" s="429"/>
      <c r="D855" s="397"/>
      <c r="E855" s="397"/>
    </row>
    <row r="856" spans="1:5">
      <c r="A856" s="401"/>
      <c r="B856" s="400"/>
      <c r="C856" s="429"/>
      <c r="D856" s="397"/>
      <c r="E856" s="397"/>
    </row>
    <row r="857" spans="1:5">
      <c r="A857" s="401"/>
      <c r="B857" s="400"/>
      <c r="C857" s="429"/>
      <c r="D857" s="397"/>
      <c r="E857" s="397"/>
    </row>
    <row r="858" spans="1:5">
      <c r="A858" s="401"/>
      <c r="B858" s="400"/>
      <c r="C858" s="429"/>
      <c r="D858" s="397"/>
      <c r="E858" s="397"/>
    </row>
    <row r="859" spans="1:5">
      <c r="A859" s="401"/>
      <c r="B859" s="400"/>
      <c r="C859" s="429"/>
      <c r="D859" s="397"/>
      <c r="E859" s="397"/>
    </row>
    <row r="860" spans="1:5">
      <c r="A860" s="401"/>
      <c r="B860" s="400"/>
      <c r="C860" s="429"/>
      <c r="D860" s="397"/>
      <c r="E860" s="397"/>
    </row>
    <row r="861" spans="1:5">
      <c r="A861" s="401"/>
      <c r="B861" s="400"/>
      <c r="C861" s="429"/>
      <c r="D861" s="397"/>
      <c r="E861" s="397"/>
    </row>
    <row r="862" spans="1:5">
      <c r="A862" s="401"/>
      <c r="B862" s="400"/>
      <c r="C862" s="429"/>
      <c r="D862" s="397"/>
      <c r="E862" s="397"/>
    </row>
    <row r="863" spans="1:5">
      <c r="A863" s="401"/>
      <c r="B863" s="400"/>
      <c r="C863" s="429"/>
      <c r="D863" s="397"/>
      <c r="E863" s="397"/>
    </row>
    <row r="864" spans="1:5">
      <c r="A864" s="401"/>
      <c r="B864" s="400"/>
      <c r="C864" s="429"/>
      <c r="D864" s="397"/>
      <c r="E864" s="397"/>
    </row>
    <row r="865" spans="1:5">
      <c r="A865" s="401"/>
      <c r="B865" s="400"/>
      <c r="C865" s="429"/>
      <c r="D865" s="397"/>
      <c r="E865" s="397"/>
    </row>
    <row r="866" spans="1:5">
      <c r="A866" s="401"/>
      <c r="B866" s="400"/>
      <c r="C866" s="429"/>
      <c r="D866" s="397"/>
      <c r="E866" s="397"/>
    </row>
    <row r="867" spans="1:5">
      <c r="A867" s="401"/>
      <c r="B867" s="400"/>
      <c r="C867" s="429"/>
      <c r="D867" s="397"/>
      <c r="E867" s="397"/>
    </row>
    <row r="868" spans="1:5">
      <c r="A868" s="401"/>
      <c r="B868" s="400"/>
      <c r="C868" s="429"/>
      <c r="D868" s="397"/>
      <c r="E868" s="397"/>
    </row>
    <row r="869" spans="1:5">
      <c r="A869" s="401"/>
      <c r="B869" s="400"/>
      <c r="C869" s="429"/>
      <c r="D869" s="397"/>
      <c r="E869" s="397"/>
    </row>
    <row r="870" spans="1:5">
      <c r="A870" s="401"/>
      <c r="B870" s="400"/>
      <c r="C870" s="429"/>
      <c r="D870" s="397"/>
      <c r="E870" s="397"/>
    </row>
    <row r="871" spans="1:5">
      <c r="A871" s="401"/>
      <c r="B871" s="400"/>
      <c r="C871" s="429"/>
      <c r="D871" s="397"/>
      <c r="E871" s="397"/>
    </row>
    <row r="872" spans="1:5">
      <c r="A872" s="401"/>
      <c r="B872" s="400"/>
      <c r="C872" s="429"/>
      <c r="D872" s="397"/>
      <c r="E872" s="397"/>
    </row>
    <row r="873" spans="1:5">
      <c r="A873" s="401"/>
      <c r="B873" s="400"/>
      <c r="C873" s="429"/>
      <c r="D873" s="397"/>
      <c r="E873" s="397"/>
    </row>
    <row r="874" spans="1:5">
      <c r="A874" s="401"/>
      <c r="B874" s="400"/>
      <c r="C874" s="429"/>
      <c r="D874" s="397"/>
      <c r="E874" s="397"/>
    </row>
    <row r="875" spans="1:5">
      <c r="A875" s="401"/>
      <c r="B875" s="400"/>
      <c r="C875" s="429"/>
      <c r="D875" s="397"/>
      <c r="E875" s="397"/>
    </row>
    <row r="876" spans="1:5">
      <c r="A876" s="401"/>
      <c r="B876" s="400"/>
      <c r="C876" s="429"/>
      <c r="D876" s="397"/>
      <c r="E876" s="397"/>
    </row>
    <row r="877" spans="1:5">
      <c r="A877" s="401"/>
      <c r="B877" s="400"/>
      <c r="C877" s="429"/>
      <c r="D877" s="397"/>
      <c r="E877" s="397"/>
    </row>
    <row r="878" spans="1:5">
      <c r="A878" s="401"/>
      <c r="B878" s="400"/>
      <c r="C878" s="429"/>
      <c r="D878" s="397"/>
      <c r="E878" s="397"/>
    </row>
    <row r="879" spans="1:5">
      <c r="A879" s="401"/>
      <c r="B879" s="400"/>
      <c r="C879" s="429"/>
      <c r="D879" s="397"/>
      <c r="E879" s="397"/>
    </row>
    <row r="880" spans="1:5">
      <c r="A880" s="401"/>
      <c r="B880" s="400"/>
      <c r="C880" s="429"/>
      <c r="D880" s="397"/>
      <c r="E880" s="397"/>
    </row>
    <row r="881" spans="1:5">
      <c r="A881" s="401"/>
      <c r="B881" s="400"/>
      <c r="C881" s="429"/>
      <c r="D881" s="397"/>
      <c r="E881" s="397"/>
    </row>
    <row r="882" spans="1:5">
      <c r="A882" s="401"/>
      <c r="B882" s="400"/>
      <c r="C882" s="429"/>
      <c r="D882" s="397"/>
      <c r="E882" s="397"/>
    </row>
    <row r="883" spans="1:5">
      <c r="A883" s="401"/>
      <c r="B883" s="400"/>
      <c r="C883" s="429"/>
      <c r="D883" s="397"/>
      <c r="E883" s="397"/>
    </row>
    <row r="884" spans="1:5">
      <c r="A884" s="401"/>
      <c r="B884" s="400"/>
      <c r="C884" s="429"/>
      <c r="D884" s="397"/>
      <c r="E884" s="397"/>
    </row>
    <row r="885" spans="1:5">
      <c r="A885" s="401"/>
      <c r="B885" s="400"/>
      <c r="C885" s="429"/>
      <c r="D885" s="397"/>
      <c r="E885" s="397"/>
    </row>
    <row r="886" spans="1:5">
      <c r="A886" s="401"/>
      <c r="B886" s="400"/>
      <c r="C886" s="429"/>
      <c r="D886" s="397"/>
      <c r="E886" s="397"/>
    </row>
    <row r="887" spans="1:5">
      <c r="A887" s="401"/>
      <c r="B887" s="400"/>
      <c r="C887" s="429"/>
      <c r="D887" s="397"/>
      <c r="E887" s="397"/>
    </row>
    <row r="888" spans="1:5">
      <c r="A888" s="401"/>
      <c r="B888" s="400"/>
      <c r="C888" s="429"/>
      <c r="D888" s="397"/>
      <c r="E888" s="397"/>
    </row>
    <row r="889" spans="1:5">
      <c r="A889" s="401"/>
      <c r="B889" s="400"/>
      <c r="C889" s="429"/>
      <c r="D889" s="397"/>
      <c r="E889" s="397"/>
    </row>
    <row r="890" spans="1:5">
      <c r="A890" s="401"/>
      <c r="B890" s="400"/>
      <c r="C890" s="429"/>
      <c r="D890" s="397"/>
      <c r="E890" s="397"/>
    </row>
    <row r="891" spans="1:5">
      <c r="A891" s="401"/>
      <c r="B891" s="400"/>
      <c r="C891" s="429"/>
      <c r="D891" s="397"/>
      <c r="E891" s="397"/>
    </row>
    <row r="892" spans="1:5">
      <c r="A892" s="401"/>
      <c r="B892" s="400"/>
      <c r="C892" s="429"/>
      <c r="D892" s="397"/>
      <c r="E892" s="397"/>
    </row>
    <row r="893" spans="1:5">
      <c r="A893" s="401"/>
      <c r="B893" s="400"/>
      <c r="C893" s="429"/>
      <c r="D893" s="397"/>
      <c r="E893" s="397"/>
    </row>
    <row r="894" spans="1:5">
      <c r="A894" s="401"/>
      <c r="B894" s="400"/>
      <c r="C894" s="429"/>
      <c r="D894" s="397"/>
      <c r="E894" s="397"/>
    </row>
    <row r="895" spans="1:5">
      <c r="A895" s="401"/>
      <c r="B895" s="400"/>
      <c r="C895" s="429"/>
      <c r="D895" s="397"/>
      <c r="E895" s="397"/>
    </row>
    <row r="896" spans="1:5">
      <c r="A896" s="401"/>
      <c r="B896" s="400"/>
      <c r="C896" s="429"/>
      <c r="D896" s="397"/>
      <c r="E896" s="397"/>
    </row>
    <row r="897" spans="1:5">
      <c r="A897" s="401"/>
      <c r="B897" s="400"/>
      <c r="C897" s="429"/>
      <c r="D897" s="397"/>
      <c r="E897" s="397"/>
    </row>
    <row r="898" spans="1:5">
      <c r="A898" s="401"/>
      <c r="B898" s="400"/>
      <c r="C898" s="429"/>
      <c r="D898" s="397"/>
      <c r="E898" s="397"/>
    </row>
    <row r="899" spans="1:5">
      <c r="A899" s="401"/>
      <c r="B899" s="400"/>
      <c r="C899" s="429"/>
      <c r="D899" s="397"/>
      <c r="E899" s="397"/>
    </row>
    <row r="900" spans="1:5">
      <c r="A900" s="401"/>
      <c r="B900" s="400"/>
      <c r="C900" s="429"/>
      <c r="D900" s="397"/>
      <c r="E900" s="397"/>
    </row>
    <row r="901" spans="1:5">
      <c r="A901" s="401"/>
      <c r="B901" s="400"/>
      <c r="C901" s="429"/>
      <c r="D901" s="397"/>
      <c r="E901" s="397"/>
    </row>
    <row r="902" spans="1:5">
      <c r="A902" s="401"/>
      <c r="B902" s="400"/>
      <c r="C902" s="429"/>
      <c r="D902" s="397"/>
      <c r="E902" s="397"/>
    </row>
    <row r="903" spans="1:5">
      <c r="A903" s="401"/>
      <c r="B903" s="400"/>
      <c r="C903" s="429"/>
      <c r="D903" s="397"/>
      <c r="E903" s="397"/>
    </row>
    <row r="904" spans="1:5">
      <c r="A904" s="401"/>
      <c r="B904" s="400"/>
      <c r="C904" s="429"/>
      <c r="D904" s="397"/>
      <c r="E904" s="397"/>
    </row>
    <row r="905" spans="1:5">
      <c r="A905" s="401"/>
      <c r="B905" s="400"/>
      <c r="C905" s="429"/>
      <c r="D905" s="397"/>
      <c r="E905" s="397"/>
    </row>
    <row r="906" spans="1:5">
      <c r="A906" s="401"/>
      <c r="B906" s="400"/>
      <c r="C906" s="429"/>
      <c r="D906" s="397"/>
      <c r="E906" s="397"/>
    </row>
    <row r="907" spans="1:5">
      <c r="A907" s="401"/>
      <c r="B907" s="400"/>
      <c r="C907" s="429"/>
      <c r="D907" s="397"/>
      <c r="E907" s="397"/>
    </row>
    <row r="908" spans="1:5">
      <c r="A908" s="401"/>
      <c r="B908" s="400"/>
      <c r="C908" s="429"/>
      <c r="D908" s="397"/>
      <c r="E908" s="397"/>
    </row>
    <row r="909" spans="1:5">
      <c r="A909" s="401"/>
      <c r="B909" s="400"/>
      <c r="C909" s="429"/>
      <c r="D909" s="397"/>
      <c r="E909" s="397"/>
    </row>
    <row r="910" spans="1:5">
      <c r="A910" s="401"/>
      <c r="B910" s="400"/>
      <c r="C910" s="429"/>
      <c r="D910" s="397"/>
      <c r="E910" s="397"/>
    </row>
    <row r="911" spans="1:5">
      <c r="A911" s="401"/>
      <c r="B911" s="400"/>
      <c r="C911" s="429"/>
      <c r="D911" s="397"/>
      <c r="E911" s="397"/>
    </row>
    <row r="912" spans="1:5">
      <c r="A912" s="401"/>
      <c r="B912" s="400"/>
      <c r="C912" s="429"/>
      <c r="D912" s="397"/>
      <c r="E912" s="397"/>
    </row>
    <row r="913" spans="1:5">
      <c r="A913" s="401"/>
      <c r="B913" s="400"/>
      <c r="C913" s="429"/>
      <c r="D913" s="397"/>
      <c r="E913" s="397"/>
    </row>
    <row r="914" spans="1:5">
      <c r="A914" s="401"/>
      <c r="B914" s="400"/>
      <c r="C914" s="429"/>
      <c r="D914" s="397"/>
      <c r="E914" s="397"/>
    </row>
    <row r="915" spans="1:5">
      <c r="A915" s="401"/>
      <c r="B915" s="400"/>
      <c r="C915" s="429"/>
      <c r="D915" s="397"/>
      <c r="E915" s="397"/>
    </row>
    <row r="916" spans="1:5">
      <c r="A916" s="401"/>
      <c r="B916" s="400"/>
      <c r="C916" s="429"/>
      <c r="D916" s="397"/>
      <c r="E916" s="397"/>
    </row>
    <row r="917" spans="1:5">
      <c r="A917" s="401"/>
      <c r="B917" s="400"/>
      <c r="C917" s="429"/>
      <c r="D917" s="397"/>
      <c r="E917" s="397"/>
    </row>
    <row r="918" spans="1:5">
      <c r="A918" s="401"/>
      <c r="B918" s="400"/>
      <c r="C918" s="429"/>
      <c r="D918" s="397"/>
      <c r="E918" s="397"/>
    </row>
    <row r="919" spans="1:5">
      <c r="A919" s="401"/>
      <c r="B919" s="400"/>
      <c r="C919" s="429"/>
      <c r="D919" s="397"/>
      <c r="E919" s="397"/>
    </row>
    <row r="920" spans="1:5">
      <c r="A920" s="401"/>
      <c r="B920" s="400"/>
      <c r="C920" s="429"/>
      <c r="D920" s="397"/>
      <c r="E920" s="397"/>
    </row>
    <row r="921" spans="1:5">
      <c r="A921" s="401"/>
      <c r="B921" s="400"/>
      <c r="C921" s="429"/>
      <c r="D921" s="397"/>
      <c r="E921" s="397"/>
    </row>
    <row r="922" spans="1:5">
      <c r="A922" s="401"/>
      <c r="B922" s="400"/>
      <c r="C922" s="429"/>
      <c r="D922" s="397"/>
      <c r="E922" s="397"/>
    </row>
    <row r="923" spans="1:5">
      <c r="A923" s="401"/>
      <c r="B923" s="400"/>
      <c r="C923" s="429"/>
      <c r="D923" s="397"/>
      <c r="E923" s="397"/>
    </row>
    <row r="924" spans="1:5">
      <c r="A924" s="401"/>
      <c r="B924" s="400"/>
      <c r="C924" s="429"/>
      <c r="D924" s="397"/>
      <c r="E924" s="397"/>
    </row>
    <row r="925" spans="1:5">
      <c r="A925" s="401"/>
      <c r="B925" s="400"/>
      <c r="C925" s="429"/>
      <c r="D925" s="397"/>
      <c r="E925" s="397"/>
    </row>
    <row r="926" spans="1:5">
      <c r="A926" s="401"/>
      <c r="B926" s="400"/>
      <c r="C926" s="429"/>
      <c r="D926" s="397"/>
      <c r="E926" s="397"/>
    </row>
    <row r="927" spans="1:5">
      <c r="A927" s="401"/>
      <c r="B927" s="400"/>
      <c r="C927" s="429"/>
      <c r="D927" s="397"/>
      <c r="E927" s="397"/>
    </row>
    <row r="928" spans="1:5">
      <c r="A928" s="401"/>
      <c r="B928" s="400"/>
      <c r="C928" s="429"/>
      <c r="D928" s="397"/>
      <c r="E928" s="397"/>
    </row>
    <row r="929" spans="1:5">
      <c r="A929" s="401"/>
      <c r="B929" s="400"/>
      <c r="C929" s="429"/>
      <c r="D929" s="397"/>
      <c r="E929" s="397"/>
    </row>
    <row r="930" spans="1:5">
      <c r="A930" s="401"/>
      <c r="B930" s="400"/>
      <c r="C930" s="429"/>
      <c r="D930" s="397"/>
      <c r="E930" s="397"/>
    </row>
    <row r="931" spans="1:5">
      <c r="A931" s="401"/>
      <c r="B931" s="400"/>
      <c r="C931" s="429"/>
      <c r="D931" s="397"/>
      <c r="E931" s="397"/>
    </row>
    <row r="932" spans="1:5">
      <c r="A932" s="401"/>
      <c r="B932" s="400"/>
      <c r="C932" s="429"/>
      <c r="D932" s="397"/>
      <c r="E932" s="397"/>
    </row>
    <row r="933" spans="1:5">
      <c r="A933" s="401"/>
      <c r="B933" s="400"/>
      <c r="C933" s="429"/>
      <c r="D933" s="397"/>
      <c r="E933" s="397"/>
    </row>
    <row r="934" spans="1:5">
      <c r="A934" s="401"/>
      <c r="B934" s="400"/>
      <c r="C934" s="429"/>
      <c r="D934" s="397"/>
      <c r="E934" s="397"/>
    </row>
    <row r="935" spans="1:5">
      <c r="A935" s="401"/>
      <c r="B935" s="400"/>
      <c r="C935" s="429"/>
      <c r="D935" s="397"/>
      <c r="E935" s="397"/>
    </row>
    <row r="936" spans="1:5">
      <c r="A936" s="401"/>
      <c r="B936" s="400"/>
      <c r="C936" s="429"/>
      <c r="D936" s="397"/>
      <c r="E936" s="397"/>
    </row>
    <row r="937" spans="1:5">
      <c r="A937" s="401"/>
      <c r="B937" s="400"/>
      <c r="C937" s="429"/>
      <c r="D937" s="397"/>
      <c r="E937" s="397"/>
    </row>
    <row r="938" spans="1:5">
      <c r="A938" s="401"/>
      <c r="B938" s="400"/>
      <c r="C938" s="429"/>
      <c r="D938" s="397"/>
      <c r="E938" s="397"/>
    </row>
    <row r="939" spans="1:5">
      <c r="A939" s="401"/>
      <c r="B939" s="400"/>
      <c r="C939" s="429"/>
      <c r="D939" s="397"/>
      <c r="E939" s="397"/>
    </row>
    <row r="940" spans="1:5">
      <c r="A940" s="401"/>
      <c r="B940" s="400"/>
      <c r="C940" s="429"/>
      <c r="D940" s="397"/>
      <c r="E940" s="397"/>
    </row>
    <row r="941" spans="1:5">
      <c r="A941" s="401"/>
      <c r="B941" s="400"/>
      <c r="C941" s="429"/>
      <c r="D941" s="397"/>
      <c r="E941" s="397"/>
    </row>
    <row r="942" spans="1:5">
      <c r="A942" s="401"/>
      <c r="B942" s="400"/>
      <c r="C942" s="429"/>
      <c r="D942" s="397"/>
      <c r="E942" s="397"/>
    </row>
    <row r="943" spans="1:5">
      <c r="A943" s="401"/>
      <c r="B943" s="400"/>
      <c r="C943" s="429"/>
      <c r="D943" s="397"/>
      <c r="E943" s="397"/>
    </row>
    <row r="944" spans="1:5">
      <c r="A944" s="401"/>
      <c r="B944" s="400"/>
      <c r="C944" s="429"/>
      <c r="D944" s="397"/>
      <c r="E944" s="397"/>
    </row>
    <row r="945" spans="1:5">
      <c r="A945" s="401"/>
      <c r="B945" s="400"/>
      <c r="C945" s="429"/>
      <c r="D945" s="397"/>
      <c r="E945" s="397"/>
    </row>
    <row r="946" spans="1:5">
      <c r="A946" s="401"/>
      <c r="B946" s="400"/>
      <c r="C946" s="429"/>
      <c r="D946" s="397"/>
      <c r="E946" s="397"/>
    </row>
    <row r="947" spans="1:5">
      <c r="A947" s="401"/>
      <c r="B947" s="400"/>
      <c r="C947" s="429"/>
      <c r="D947" s="397"/>
      <c r="E947" s="397"/>
    </row>
    <row r="948" spans="1:5">
      <c r="A948" s="401"/>
      <c r="B948" s="400"/>
      <c r="C948" s="429"/>
      <c r="D948" s="397"/>
      <c r="E948" s="397"/>
    </row>
    <row r="949" spans="1:5">
      <c r="A949" s="401"/>
      <c r="B949" s="400"/>
      <c r="C949" s="429"/>
      <c r="D949" s="397"/>
      <c r="E949" s="397"/>
    </row>
    <row r="950" spans="1:5">
      <c r="A950" s="401"/>
      <c r="B950" s="400"/>
      <c r="C950" s="429"/>
      <c r="D950" s="397"/>
      <c r="E950" s="397"/>
    </row>
    <row r="951" spans="1:5">
      <c r="A951" s="401"/>
      <c r="B951" s="400"/>
      <c r="C951" s="429"/>
      <c r="D951" s="397"/>
      <c r="E951" s="397"/>
    </row>
    <row r="952" spans="1:5">
      <c r="A952" s="401"/>
      <c r="B952" s="400"/>
      <c r="C952" s="429"/>
      <c r="D952" s="397"/>
      <c r="E952" s="397"/>
    </row>
    <row r="953" spans="1:5">
      <c r="A953" s="401"/>
      <c r="B953" s="400"/>
      <c r="C953" s="429"/>
      <c r="D953" s="397"/>
      <c r="E953" s="397"/>
    </row>
    <row r="954" spans="1:5">
      <c r="A954" s="401"/>
      <c r="B954" s="400"/>
      <c r="C954" s="429"/>
      <c r="D954" s="397"/>
      <c r="E954" s="397"/>
    </row>
    <row r="955" spans="1:5">
      <c r="A955" s="401"/>
      <c r="B955" s="400"/>
      <c r="C955" s="429"/>
      <c r="D955" s="397"/>
      <c r="E955" s="397"/>
    </row>
    <row r="956" spans="1:5">
      <c r="A956" s="401"/>
      <c r="B956" s="400"/>
      <c r="C956" s="429"/>
      <c r="D956" s="397"/>
      <c r="E956" s="397"/>
    </row>
    <row r="957" spans="1:5">
      <c r="A957" s="401"/>
      <c r="B957" s="400"/>
      <c r="C957" s="429"/>
      <c r="D957" s="397"/>
      <c r="E957" s="397"/>
    </row>
    <row r="958" spans="1:5">
      <c r="A958" s="401"/>
      <c r="B958" s="400"/>
      <c r="C958" s="429"/>
      <c r="D958" s="397"/>
      <c r="E958" s="397"/>
    </row>
    <row r="959" spans="1:5">
      <c r="A959" s="401"/>
      <c r="B959" s="400"/>
      <c r="C959" s="429"/>
      <c r="D959" s="397"/>
      <c r="E959" s="397"/>
    </row>
    <row r="960" spans="1:5">
      <c r="A960" s="401"/>
      <c r="B960" s="400"/>
      <c r="C960" s="429"/>
      <c r="D960" s="397"/>
      <c r="E960" s="397"/>
    </row>
    <row r="961" spans="1:5">
      <c r="A961" s="401"/>
      <c r="B961" s="400"/>
      <c r="C961" s="429"/>
      <c r="D961" s="397"/>
      <c r="E961" s="397"/>
    </row>
    <row r="962" spans="1:5">
      <c r="A962" s="401"/>
      <c r="B962" s="400"/>
      <c r="C962" s="429"/>
      <c r="D962" s="397"/>
      <c r="E962" s="397"/>
    </row>
    <row r="963" spans="1:5">
      <c r="A963" s="401"/>
      <c r="B963" s="400"/>
      <c r="C963" s="429"/>
      <c r="D963" s="397"/>
      <c r="E963" s="397"/>
    </row>
    <row r="964" spans="1:5">
      <c r="A964" s="401"/>
      <c r="B964" s="400"/>
      <c r="C964" s="429"/>
      <c r="D964" s="397"/>
      <c r="E964" s="397"/>
    </row>
    <row r="965" spans="1:5">
      <c r="A965" s="401"/>
      <c r="B965" s="400"/>
      <c r="C965" s="429"/>
      <c r="D965" s="397"/>
      <c r="E965" s="397"/>
    </row>
    <row r="966" spans="1:5">
      <c r="A966" s="401"/>
      <c r="B966" s="400"/>
      <c r="C966" s="429"/>
      <c r="D966" s="397"/>
      <c r="E966" s="397"/>
    </row>
    <row r="967" spans="1:5">
      <c r="A967" s="401"/>
      <c r="B967" s="400"/>
      <c r="C967" s="429"/>
      <c r="D967" s="397"/>
      <c r="E967" s="397"/>
    </row>
    <row r="968" spans="1:5">
      <c r="A968" s="401"/>
      <c r="B968" s="400"/>
      <c r="C968" s="429"/>
      <c r="D968" s="397"/>
      <c r="E968" s="397"/>
    </row>
    <row r="969" spans="1:5">
      <c r="A969" s="401"/>
      <c r="B969" s="400"/>
      <c r="C969" s="429"/>
      <c r="D969" s="397"/>
      <c r="E969" s="397"/>
    </row>
    <row r="970" spans="1:5">
      <c r="A970" s="401"/>
      <c r="B970" s="400"/>
      <c r="C970" s="429"/>
      <c r="D970" s="397"/>
      <c r="E970" s="397"/>
    </row>
    <row r="971" spans="1:5">
      <c r="A971" s="401"/>
      <c r="B971" s="400"/>
      <c r="C971" s="429"/>
      <c r="D971" s="397"/>
      <c r="E971" s="397"/>
    </row>
    <row r="972" spans="1:5">
      <c r="A972" s="401"/>
      <c r="B972" s="400"/>
      <c r="C972" s="429"/>
      <c r="D972" s="397"/>
      <c r="E972" s="397"/>
    </row>
    <row r="973" spans="1:5">
      <c r="A973" s="401"/>
      <c r="B973" s="400"/>
      <c r="C973" s="429"/>
      <c r="D973" s="397"/>
      <c r="E973" s="397"/>
    </row>
    <row r="974" spans="1:5">
      <c r="A974" s="401"/>
      <c r="B974" s="400"/>
      <c r="C974" s="429"/>
      <c r="D974" s="397"/>
      <c r="E974" s="397"/>
    </row>
    <row r="975" spans="1:5">
      <c r="A975" s="401"/>
      <c r="B975" s="400"/>
      <c r="C975" s="429"/>
      <c r="D975" s="397"/>
      <c r="E975" s="397"/>
    </row>
    <row r="976" spans="1:5">
      <c r="A976" s="401"/>
      <c r="B976" s="400"/>
      <c r="C976" s="429"/>
      <c r="D976" s="397"/>
      <c r="E976" s="397"/>
    </row>
    <row r="977" spans="1:5">
      <c r="A977" s="401"/>
      <c r="B977" s="400"/>
      <c r="C977" s="429"/>
      <c r="D977" s="397"/>
      <c r="E977" s="397"/>
    </row>
    <row r="978" spans="1:5">
      <c r="A978" s="401"/>
      <c r="B978" s="400"/>
      <c r="C978" s="429"/>
      <c r="D978" s="397"/>
      <c r="E978" s="397"/>
    </row>
    <row r="979" spans="1:5">
      <c r="A979" s="401"/>
      <c r="B979" s="400"/>
      <c r="C979" s="429"/>
      <c r="D979" s="397"/>
      <c r="E979" s="397"/>
    </row>
    <row r="980" spans="1:5">
      <c r="A980" s="401"/>
      <c r="B980" s="400"/>
      <c r="C980" s="429"/>
      <c r="D980" s="397"/>
      <c r="E980" s="397"/>
    </row>
    <row r="981" spans="1:5">
      <c r="A981" s="401"/>
      <c r="B981" s="400"/>
      <c r="C981" s="429"/>
      <c r="D981" s="397"/>
      <c r="E981" s="397"/>
    </row>
    <row r="982" spans="1:5">
      <c r="A982" s="401"/>
      <c r="B982" s="400"/>
      <c r="C982" s="429"/>
      <c r="D982" s="397"/>
      <c r="E982" s="397"/>
    </row>
    <row r="983" spans="1:5">
      <c r="A983" s="401"/>
      <c r="B983" s="400"/>
      <c r="C983" s="429"/>
      <c r="D983" s="397"/>
      <c r="E983" s="397"/>
    </row>
    <row r="984" spans="1:5">
      <c r="A984" s="401"/>
      <c r="B984" s="400"/>
      <c r="C984" s="429"/>
      <c r="D984" s="397"/>
      <c r="E984" s="397"/>
    </row>
    <row r="985" spans="1:5">
      <c r="A985" s="401"/>
      <c r="B985" s="400"/>
      <c r="C985" s="429"/>
      <c r="D985" s="397"/>
      <c r="E985" s="397"/>
    </row>
    <row r="986" spans="1:5">
      <c r="A986" s="401"/>
      <c r="B986" s="400"/>
      <c r="C986" s="429"/>
      <c r="D986" s="397"/>
      <c r="E986" s="397"/>
    </row>
    <row r="987" spans="1:5">
      <c r="A987" s="401"/>
      <c r="B987" s="400"/>
      <c r="C987" s="429"/>
      <c r="D987" s="397"/>
      <c r="E987" s="397"/>
    </row>
    <row r="988" spans="1:5">
      <c r="A988" s="401"/>
      <c r="B988" s="400"/>
      <c r="C988" s="429"/>
      <c r="D988" s="397"/>
      <c r="E988" s="397"/>
    </row>
    <row r="989" spans="1:5">
      <c r="A989" s="401"/>
      <c r="B989" s="400"/>
      <c r="C989" s="429"/>
      <c r="D989" s="397"/>
      <c r="E989" s="397"/>
    </row>
    <row r="990" spans="1:5">
      <c r="A990" s="401"/>
      <c r="B990" s="400"/>
      <c r="C990" s="429"/>
      <c r="D990" s="397"/>
      <c r="E990" s="397"/>
    </row>
    <row r="991" spans="1:5">
      <c r="A991" s="401"/>
      <c r="B991" s="400"/>
      <c r="C991" s="429"/>
      <c r="D991" s="397"/>
      <c r="E991" s="397"/>
    </row>
    <row r="992" spans="1:5">
      <c r="A992" s="401"/>
      <c r="B992" s="400"/>
      <c r="C992" s="429"/>
      <c r="D992" s="397"/>
      <c r="E992" s="397"/>
    </row>
    <row r="993" spans="1:5">
      <c r="A993" s="401"/>
      <c r="B993" s="400"/>
      <c r="C993" s="429"/>
      <c r="D993" s="397"/>
      <c r="E993" s="397"/>
    </row>
    <row r="994" spans="1:5">
      <c r="A994" s="401"/>
      <c r="B994" s="400"/>
      <c r="C994" s="429"/>
      <c r="D994" s="397"/>
      <c r="E994" s="397"/>
    </row>
    <row r="995" spans="1:5">
      <c r="A995" s="401"/>
      <c r="B995" s="400"/>
      <c r="C995" s="429"/>
      <c r="D995" s="397"/>
      <c r="E995" s="397"/>
    </row>
    <row r="996" spans="1:5">
      <c r="A996" s="401"/>
      <c r="B996" s="400"/>
      <c r="C996" s="429"/>
      <c r="D996" s="397"/>
      <c r="E996" s="397"/>
    </row>
    <row r="997" spans="1:5">
      <c r="A997" s="401"/>
      <c r="B997" s="400"/>
      <c r="C997" s="429"/>
      <c r="D997" s="397"/>
      <c r="E997" s="397"/>
    </row>
    <row r="998" spans="1:5">
      <c r="A998" s="401"/>
      <c r="B998" s="400"/>
      <c r="C998" s="429"/>
      <c r="D998" s="397"/>
      <c r="E998" s="397"/>
    </row>
    <row r="999" spans="1:5">
      <c r="A999" s="401"/>
      <c r="B999" s="400"/>
      <c r="C999" s="429"/>
      <c r="D999" s="397"/>
      <c r="E999" s="397"/>
    </row>
    <row r="1000" spans="1:5">
      <c r="A1000" s="401"/>
      <c r="B1000" s="400"/>
      <c r="C1000" s="429"/>
      <c r="D1000" s="397"/>
      <c r="E1000" s="397"/>
    </row>
    <row r="1001" spans="1:5">
      <c r="A1001" s="401"/>
      <c r="B1001" s="400"/>
      <c r="C1001" s="429"/>
      <c r="D1001" s="397"/>
      <c r="E1001" s="397"/>
    </row>
    <row r="1002" spans="1:5">
      <c r="A1002" s="401"/>
      <c r="B1002" s="400"/>
      <c r="C1002" s="429"/>
      <c r="D1002" s="397"/>
      <c r="E1002" s="397"/>
    </row>
    <row r="1003" spans="1:5">
      <c r="A1003" s="401"/>
      <c r="B1003" s="400"/>
      <c r="C1003" s="429"/>
      <c r="D1003" s="397"/>
      <c r="E1003" s="397"/>
    </row>
    <row r="1004" spans="1:5">
      <c r="A1004" s="401"/>
      <c r="B1004" s="400"/>
      <c r="C1004" s="429"/>
      <c r="D1004" s="397"/>
      <c r="E1004" s="397"/>
    </row>
    <row r="1005" spans="1:5">
      <c r="A1005" s="401"/>
      <c r="B1005" s="400"/>
      <c r="C1005" s="429"/>
      <c r="D1005" s="397"/>
      <c r="E1005" s="397"/>
    </row>
    <row r="1006" spans="1:5">
      <c r="A1006" s="401"/>
      <c r="B1006" s="400"/>
      <c r="C1006" s="429"/>
      <c r="D1006" s="397"/>
      <c r="E1006" s="397"/>
    </row>
    <row r="1007" spans="1:5">
      <c r="A1007" s="401"/>
      <c r="B1007" s="400"/>
      <c r="C1007" s="429"/>
      <c r="D1007" s="397"/>
      <c r="E1007" s="397"/>
    </row>
    <row r="1008" spans="1:5">
      <c r="A1008" s="401"/>
      <c r="B1008" s="400"/>
      <c r="C1008" s="429"/>
      <c r="D1008" s="397"/>
      <c r="E1008" s="267"/>
    </row>
    <row r="1009" spans="1:4">
      <c r="A1009" s="401"/>
      <c r="B1009" s="400"/>
      <c r="C1009" s="429"/>
      <c r="D1009" s="397"/>
    </row>
    <row r="1010" spans="1:4">
      <c r="A1010" s="401"/>
      <c r="B1010" s="400"/>
      <c r="C1010" s="429"/>
      <c r="D1010" s="397"/>
    </row>
  </sheetData>
  <mergeCells count="1">
    <mergeCell ref="A1:D1"/>
  </mergeCells>
  <conditionalFormatting sqref="C4:C13 C15:C22 C24:C25">
    <cfRule type="cellIs" dxfId="7" priority="1" operator="equal">
      <formula>"Да"</formula>
    </cfRule>
    <cfRule type="cellIs" dxfId="6" priority="2" operator="equal">
      <formula>"Нет"</formula>
    </cfRule>
  </conditionalFormatting>
  <conditionalFormatting sqref="C4:C13 C15:C29 A3 D4 A14 D15:D16 D22 A23 A26">
    <cfRule type="notContainsBlanks" dxfId="5" priority="3">
      <formula>LEN(TRIM(A3))&gt;0</formula>
    </cfRule>
  </conditionalFormatting>
  <dataValidations count="1">
    <dataValidation type="list" allowBlank="1" showErrorMessage="1" sqref="C4:C13 C15:C22 C24:C25" xr:uid="{00000000-0002-0000-1200-000000000000}">
      <formula1>",Да,Нет,"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E1008"/>
  <sheetViews>
    <sheetView workbookViewId="0">
      <selection sqref="A1:D1"/>
    </sheetView>
  </sheetViews>
  <sheetFormatPr defaultColWidth="14.42578125" defaultRowHeight="15" customHeight="1"/>
  <cols>
    <col min="1" max="1" width="7.140625" style="257" customWidth="1"/>
    <col min="2" max="2" width="72.85546875" style="257" customWidth="1"/>
    <col min="3" max="3" width="11.85546875" style="257" customWidth="1"/>
    <col min="4" max="4" width="25.85546875" style="257" customWidth="1"/>
    <col min="5" max="5" width="18" style="257" customWidth="1"/>
    <col min="6" max="16384" width="14.42578125" style="257"/>
  </cols>
  <sheetData>
    <row r="1" spans="1:5" ht="16.5" thickBot="1">
      <c r="A1" s="739" t="s">
        <v>508</v>
      </c>
      <c r="B1" s="740"/>
      <c r="C1" s="740"/>
      <c r="D1" s="740"/>
      <c r="E1" s="402"/>
    </row>
    <row r="2" spans="1:5" ht="17.25" thickTop="1" thickBot="1">
      <c r="A2" s="428" t="s">
        <v>81</v>
      </c>
      <c r="B2" s="427" t="s">
        <v>426</v>
      </c>
      <c r="C2" s="428" t="s">
        <v>425</v>
      </c>
      <c r="D2" s="428" t="s">
        <v>424</v>
      </c>
      <c r="E2" s="402"/>
    </row>
    <row r="3" spans="1:5" ht="17.25" thickTop="1" thickBot="1">
      <c r="A3" s="412"/>
      <c r="B3" s="410" t="s">
        <v>423</v>
      </c>
      <c r="C3" s="410"/>
      <c r="D3" s="410"/>
      <c r="E3" s="402"/>
    </row>
    <row r="4" spans="1:5" ht="16.5" thickTop="1">
      <c r="A4" s="443" t="s">
        <v>507</v>
      </c>
      <c r="B4" s="421" t="s">
        <v>422</v>
      </c>
      <c r="C4" s="414"/>
      <c r="D4" s="438"/>
      <c r="E4" s="402"/>
    </row>
    <row r="5" spans="1:5" ht="15.75">
      <c r="A5" s="443" t="s">
        <v>506</v>
      </c>
      <c r="B5" s="423" t="s">
        <v>421</v>
      </c>
      <c r="C5" s="414"/>
      <c r="D5" s="438"/>
      <c r="E5" s="402"/>
    </row>
    <row r="6" spans="1:5" ht="15.75">
      <c r="A6" s="443" t="s">
        <v>505</v>
      </c>
      <c r="B6" s="423" t="s">
        <v>420</v>
      </c>
      <c r="C6" s="414"/>
      <c r="D6" s="438"/>
      <c r="E6" s="402"/>
    </row>
    <row r="7" spans="1:5" ht="15.75">
      <c r="A7" s="443" t="s">
        <v>504</v>
      </c>
      <c r="B7" s="423" t="s">
        <v>419</v>
      </c>
      <c r="C7" s="414"/>
      <c r="D7" s="438"/>
      <c r="E7" s="402"/>
    </row>
    <row r="8" spans="1:5" ht="15.75">
      <c r="A8" s="443" t="s">
        <v>503</v>
      </c>
      <c r="B8" s="423" t="s">
        <v>418</v>
      </c>
      <c r="C8" s="414"/>
      <c r="D8" s="438"/>
      <c r="E8" s="402"/>
    </row>
    <row r="9" spans="1:5" ht="15.75">
      <c r="A9" s="443" t="s">
        <v>502</v>
      </c>
      <c r="B9" s="423" t="s">
        <v>417</v>
      </c>
      <c r="C9" s="414"/>
      <c r="D9" s="438"/>
      <c r="E9" s="402"/>
    </row>
    <row r="10" spans="1:5" ht="26.25">
      <c r="A10" s="443" t="s">
        <v>501</v>
      </c>
      <c r="B10" s="426" t="s">
        <v>416</v>
      </c>
      <c r="C10" s="414"/>
      <c r="D10" s="438"/>
      <c r="E10" s="402"/>
    </row>
    <row r="11" spans="1:5" ht="25.5">
      <c r="A11" s="443" t="s">
        <v>500</v>
      </c>
      <c r="B11" s="425" t="s">
        <v>415</v>
      </c>
      <c r="C11" s="414"/>
      <c r="D11" s="438"/>
      <c r="E11" s="402"/>
    </row>
    <row r="12" spans="1:5" ht="15.75">
      <c r="A12" s="443" t="s">
        <v>499</v>
      </c>
      <c r="B12" s="449" t="s">
        <v>498</v>
      </c>
      <c r="C12" s="414"/>
      <c r="D12" s="438"/>
      <c r="E12" s="402"/>
    </row>
    <row r="13" spans="1:5" ht="15.75">
      <c r="A13" s="443" t="s">
        <v>497</v>
      </c>
      <c r="B13" s="423" t="s">
        <v>413</v>
      </c>
      <c r="C13" s="414"/>
      <c r="D13" s="438"/>
      <c r="E13" s="424" t="s">
        <v>412</v>
      </c>
    </row>
    <row r="14" spans="1:5" ht="15.75">
      <c r="A14" s="443" t="s">
        <v>496</v>
      </c>
      <c r="B14" s="423" t="s">
        <v>495</v>
      </c>
      <c r="C14" s="414"/>
      <c r="D14" s="438"/>
      <c r="E14" s="402"/>
    </row>
    <row r="15" spans="1:5" ht="15.75">
      <c r="A15" s="443" t="s">
        <v>494</v>
      </c>
      <c r="B15" s="423" t="s">
        <v>440</v>
      </c>
      <c r="C15" s="414"/>
      <c r="D15" s="438"/>
      <c r="E15" s="402"/>
    </row>
    <row r="16" spans="1:5" ht="16.5" thickBot="1">
      <c r="A16" s="443" t="s">
        <v>493</v>
      </c>
      <c r="B16" s="423" t="s">
        <v>492</v>
      </c>
      <c r="C16" s="414"/>
      <c r="D16" s="438"/>
      <c r="E16" s="402"/>
    </row>
    <row r="17" spans="1:5" ht="17.25" thickTop="1" thickBot="1">
      <c r="A17" s="412"/>
      <c r="B17" s="410" t="s">
        <v>410</v>
      </c>
      <c r="C17" s="410"/>
      <c r="D17" s="410"/>
      <c r="E17" s="402"/>
    </row>
    <row r="18" spans="1:5" ht="16.5" thickTop="1">
      <c r="A18" s="443" t="s">
        <v>491</v>
      </c>
      <c r="B18" s="421" t="s">
        <v>409</v>
      </c>
      <c r="C18" s="414"/>
      <c r="D18" s="438"/>
      <c r="E18" s="402"/>
    </row>
    <row r="19" spans="1:5" ht="15.75">
      <c r="A19" s="443" t="s">
        <v>490</v>
      </c>
      <c r="B19" s="421" t="s">
        <v>489</v>
      </c>
      <c r="C19" s="414"/>
      <c r="D19" s="438"/>
      <c r="E19" s="402"/>
    </row>
    <row r="20" spans="1:5" ht="26.25">
      <c r="A20" s="443" t="s">
        <v>488</v>
      </c>
      <c r="B20" s="421" t="s">
        <v>487</v>
      </c>
      <c r="C20" s="414"/>
      <c r="D20" s="438"/>
      <c r="E20" s="402"/>
    </row>
    <row r="21" spans="1:5" ht="15.75">
      <c r="A21" s="443" t="s">
        <v>486</v>
      </c>
      <c r="B21" s="421" t="s">
        <v>485</v>
      </c>
      <c r="C21" s="414"/>
      <c r="D21" s="438"/>
      <c r="E21" s="402"/>
    </row>
    <row r="22" spans="1:5" ht="15.75">
      <c r="A22" s="443" t="s">
        <v>484</v>
      </c>
      <c r="B22" s="423" t="s">
        <v>483</v>
      </c>
      <c r="C22" s="414"/>
      <c r="D22" s="438"/>
      <c r="E22" s="402"/>
    </row>
    <row r="23" spans="1:5" ht="27" thickBot="1">
      <c r="A23" s="443" t="s">
        <v>482</v>
      </c>
      <c r="B23" s="426" t="s">
        <v>481</v>
      </c>
      <c r="C23" s="414"/>
      <c r="D23" s="438"/>
      <c r="E23" s="402"/>
    </row>
    <row r="24" spans="1:5" ht="17.25" thickTop="1" thickBot="1">
      <c r="A24" s="412"/>
      <c r="B24" s="410" t="s">
        <v>403</v>
      </c>
      <c r="C24" s="410"/>
      <c r="D24" s="410"/>
      <c r="E24" s="402"/>
    </row>
    <row r="25" spans="1:5" ht="16.5" thickTop="1">
      <c r="A25" s="445" t="s">
        <v>480</v>
      </c>
      <c r="B25" s="421" t="s">
        <v>479</v>
      </c>
      <c r="C25" s="414"/>
      <c r="D25" s="438"/>
      <c r="E25" s="402"/>
    </row>
    <row r="26" spans="1:5" ht="15.75">
      <c r="A26" s="443" t="s">
        <v>478</v>
      </c>
      <c r="B26" s="421" t="s">
        <v>477</v>
      </c>
      <c r="C26" s="414"/>
      <c r="D26" s="438"/>
      <c r="E26" s="402"/>
    </row>
    <row r="27" spans="1:5" ht="27" thickBot="1">
      <c r="A27" s="443" t="s">
        <v>476</v>
      </c>
      <c r="B27" s="448" t="s">
        <v>475</v>
      </c>
      <c r="C27" s="414"/>
      <c r="D27" s="447"/>
      <c r="E27" s="402"/>
    </row>
    <row r="28" spans="1:5" ht="17.25" thickTop="1" thickBot="1">
      <c r="A28" s="412"/>
      <c r="B28" s="410" t="s">
        <v>395</v>
      </c>
      <c r="C28" s="410"/>
      <c r="D28" s="410"/>
      <c r="E28" s="402"/>
    </row>
    <row r="29" spans="1:5" ht="39.75" thickTop="1">
      <c r="A29" s="445" t="s">
        <v>474</v>
      </c>
      <c r="B29" s="421" t="s">
        <v>473</v>
      </c>
      <c r="C29" s="414"/>
      <c r="D29" s="438"/>
      <c r="E29" s="402"/>
    </row>
    <row r="30" spans="1:5" ht="16.5" thickBot="1">
      <c r="A30" s="442" t="s">
        <v>472</v>
      </c>
      <c r="B30" s="420" t="s">
        <v>471</v>
      </c>
      <c r="C30" s="414"/>
      <c r="D30" s="438"/>
      <c r="E30" s="402"/>
    </row>
    <row r="31" spans="1:5" ht="17.25" thickTop="1" thickBot="1">
      <c r="A31" s="412"/>
      <c r="B31" s="410" t="s">
        <v>470</v>
      </c>
      <c r="C31" s="410"/>
      <c r="D31" s="410"/>
      <c r="E31" s="402"/>
    </row>
    <row r="32" spans="1:5" ht="17.25" thickTop="1" thickBot="1">
      <c r="A32" s="445" t="s">
        <v>469</v>
      </c>
      <c r="B32" s="421" t="s">
        <v>468</v>
      </c>
      <c r="C32" s="414"/>
      <c r="D32" s="438"/>
      <c r="E32" s="402"/>
    </row>
    <row r="33" spans="1:5" ht="17.25" thickTop="1" thickBot="1">
      <c r="A33" s="412"/>
      <c r="B33" s="410" t="s">
        <v>467</v>
      </c>
      <c r="C33" s="410"/>
      <c r="D33" s="410"/>
      <c r="E33" s="402"/>
    </row>
    <row r="34" spans="1:5" ht="16.5" thickTop="1">
      <c r="A34" s="445" t="s">
        <v>466</v>
      </c>
      <c r="B34" s="421" t="s">
        <v>465</v>
      </c>
      <c r="C34" s="446"/>
      <c r="D34" s="438"/>
      <c r="E34" s="402"/>
    </row>
    <row r="35" spans="1:5" ht="26.25">
      <c r="A35" s="443" t="s">
        <v>464</v>
      </c>
      <c r="B35" s="421" t="s">
        <v>463</v>
      </c>
      <c r="C35" s="414"/>
      <c r="D35" s="438"/>
      <c r="E35" s="402"/>
    </row>
    <row r="36" spans="1:5" ht="15.75">
      <c r="A36" s="443" t="s">
        <v>462</v>
      </c>
      <c r="B36" s="421" t="s">
        <v>19</v>
      </c>
      <c r="C36" s="446"/>
      <c r="D36" s="438"/>
      <c r="E36" s="402"/>
    </row>
    <row r="37" spans="1:5" ht="26.25">
      <c r="A37" s="443" t="s">
        <v>461</v>
      </c>
      <c r="B37" s="421" t="s">
        <v>460</v>
      </c>
      <c r="C37" s="414"/>
      <c r="D37" s="438"/>
      <c r="E37" s="402"/>
    </row>
    <row r="38" spans="1:5" ht="15.75">
      <c r="A38" s="443" t="s">
        <v>459</v>
      </c>
      <c r="B38" s="421" t="s">
        <v>458</v>
      </c>
      <c r="C38" s="414"/>
      <c r="D38" s="438"/>
      <c r="E38" s="402"/>
    </row>
    <row r="39" spans="1:5" ht="26.25">
      <c r="A39" s="443" t="s">
        <v>457</v>
      </c>
      <c r="B39" s="421" t="s">
        <v>456</v>
      </c>
      <c r="C39" s="414"/>
      <c r="D39" s="438"/>
      <c r="E39" s="402"/>
    </row>
    <row r="40" spans="1:5" ht="15.75">
      <c r="A40" s="443" t="s">
        <v>455</v>
      </c>
      <c r="B40" s="421" t="s">
        <v>454</v>
      </c>
      <c r="C40" s="414"/>
      <c r="D40" s="438"/>
      <c r="E40" s="402"/>
    </row>
    <row r="41" spans="1:5" ht="27" thickBot="1">
      <c r="A41" s="443" t="s">
        <v>453</v>
      </c>
      <c r="B41" s="421" t="s">
        <v>452</v>
      </c>
      <c r="C41" s="414"/>
      <c r="D41" s="438"/>
      <c r="E41" s="402"/>
    </row>
    <row r="42" spans="1:5" ht="17.25" thickTop="1" thickBot="1">
      <c r="A42" s="412"/>
      <c r="B42" s="410" t="s">
        <v>451</v>
      </c>
      <c r="C42" s="410"/>
      <c r="D42" s="410"/>
      <c r="E42" s="402"/>
    </row>
    <row r="43" spans="1:5" ht="16.5" thickTop="1">
      <c r="A43" s="445" t="s">
        <v>450</v>
      </c>
      <c r="B43" s="436" t="s">
        <v>449</v>
      </c>
      <c r="C43" s="435"/>
      <c r="D43" s="444"/>
      <c r="E43" s="402"/>
    </row>
    <row r="44" spans="1:5" ht="26.25">
      <c r="A44" s="443" t="s">
        <v>448</v>
      </c>
      <c r="B44" s="421" t="s">
        <v>447</v>
      </c>
      <c r="C44" s="414"/>
      <c r="D44" s="438"/>
      <c r="E44" s="402"/>
    </row>
    <row r="45" spans="1:5" ht="15.75">
      <c r="A45" s="443" t="s">
        <v>446</v>
      </c>
      <c r="B45" s="421" t="s">
        <v>445</v>
      </c>
      <c r="C45" s="414"/>
      <c r="D45" s="438"/>
      <c r="E45" s="402"/>
    </row>
    <row r="46" spans="1:5" ht="16.5" thickBot="1">
      <c r="A46" s="442" t="s">
        <v>444</v>
      </c>
      <c r="B46" s="432" t="s">
        <v>443</v>
      </c>
      <c r="C46" s="431"/>
      <c r="D46" s="430"/>
      <c r="E46" s="402"/>
    </row>
    <row r="47" spans="1:5" ht="16.5" thickTop="1">
      <c r="A47" s="401"/>
      <c r="B47" s="400"/>
      <c r="C47" s="429"/>
      <c r="D47" s="397"/>
      <c r="E47" s="402"/>
    </row>
    <row r="48" spans="1:5" ht="15.75">
      <c r="A48" s="401"/>
      <c r="B48" s="400"/>
      <c r="C48" s="429"/>
      <c r="D48" s="397"/>
      <c r="E48" s="402"/>
    </row>
    <row r="49" spans="1:5" ht="15.75">
      <c r="A49" s="401"/>
      <c r="B49" s="400"/>
      <c r="C49" s="429"/>
      <c r="D49" s="397"/>
      <c r="E49" s="402"/>
    </row>
    <row r="50" spans="1:5" ht="15.75">
      <c r="A50" s="401"/>
      <c r="B50" s="400"/>
      <c r="C50" s="429"/>
      <c r="D50" s="397"/>
      <c r="E50" s="402"/>
    </row>
    <row r="51" spans="1:5" ht="15.75">
      <c r="A51" s="401"/>
      <c r="B51" s="400"/>
      <c r="C51" s="429"/>
      <c r="D51" s="397"/>
      <c r="E51" s="402"/>
    </row>
    <row r="52" spans="1:5" ht="15.75">
      <c r="A52" s="401"/>
      <c r="B52" s="400"/>
      <c r="C52" s="429"/>
      <c r="D52" s="397"/>
      <c r="E52" s="402"/>
    </row>
    <row r="53" spans="1:5" ht="15.75">
      <c r="A53" s="401"/>
      <c r="B53" s="400"/>
      <c r="C53" s="429"/>
      <c r="D53" s="397"/>
      <c r="E53" s="402"/>
    </row>
    <row r="54" spans="1:5" ht="15.75">
      <c r="A54" s="401"/>
      <c r="B54" s="400"/>
      <c r="C54" s="429"/>
      <c r="D54" s="397"/>
      <c r="E54" s="402"/>
    </row>
    <row r="55" spans="1:5" ht="15.75">
      <c r="A55" s="401"/>
      <c r="B55" s="400"/>
      <c r="C55" s="429"/>
      <c r="D55" s="397"/>
      <c r="E55" s="402"/>
    </row>
    <row r="56" spans="1:5" ht="15.75">
      <c r="A56" s="401"/>
      <c r="B56" s="400"/>
      <c r="C56" s="429"/>
      <c r="D56" s="397"/>
      <c r="E56" s="402"/>
    </row>
    <row r="57" spans="1:5" ht="15.75">
      <c r="A57" s="401"/>
      <c r="B57" s="400"/>
      <c r="C57" s="429"/>
      <c r="D57" s="397"/>
      <c r="E57" s="402"/>
    </row>
    <row r="58" spans="1:5" ht="15.75">
      <c r="A58" s="401"/>
      <c r="B58" s="400"/>
      <c r="C58" s="429"/>
      <c r="D58" s="397"/>
      <c r="E58" s="402"/>
    </row>
    <row r="59" spans="1:5" ht="15.75">
      <c r="A59" s="401"/>
      <c r="B59" s="400"/>
      <c r="C59" s="429"/>
      <c r="D59" s="397"/>
      <c r="E59" s="402"/>
    </row>
    <row r="60" spans="1:5" ht="15.75">
      <c r="A60" s="401"/>
      <c r="B60" s="400"/>
      <c r="C60" s="429"/>
      <c r="D60" s="397"/>
      <c r="E60" s="402"/>
    </row>
    <row r="61" spans="1:5" ht="15.75">
      <c r="A61" s="401"/>
      <c r="B61" s="400"/>
      <c r="C61" s="429"/>
      <c r="D61" s="397"/>
      <c r="E61" s="402"/>
    </row>
    <row r="62" spans="1:5" ht="15.75">
      <c r="A62" s="401"/>
      <c r="B62" s="400"/>
      <c r="C62" s="429"/>
      <c r="D62" s="397"/>
      <c r="E62" s="402"/>
    </row>
    <row r="63" spans="1:5" ht="15.75">
      <c r="A63" s="401"/>
      <c r="B63" s="400"/>
      <c r="C63" s="429"/>
      <c r="D63" s="397"/>
      <c r="E63" s="402"/>
    </row>
    <row r="64" spans="1:5" ht="15.75">
      <c r="A64" s="401"/>
      <c r="B64" s="400"/>
      <c r="C64" s="429"/>
      <c r="D64" s="397"/>
      <c r="E64" s="402"/>
    </row>
    <row r="65" spans="1:5" ht="15.75">
      <c r="A65" s="401"/>
      <c r="B65" s="400"/>
      <c r="C65" s="429"/>
      <c r="D65" s="397"/>
      <c r="E65" s="402"/>
    </row>
    <row r="66" spans="1:5" ht="15.75">
      <c r="A66" s="401"/>
      <c r="B66" s="400"/>
      <c r="C66" s="429"/>
      <c r="D66" s="397"/>
      <c r="E66" s="402"/>
    </row>
    <row r="67" spans="1:5" ht="15.75">
      <c r="A67" s="401"/>
      <c r="B67" s="400"/>
      <c r="C67" s="429"/>
      <c r="D67" s="397"/>
      <c r="E67" s="402"/>
    </row>
    <row r="68" spans="1:5" ht="15.75">
      <c r="A68" s="401"/>
      <c r="B68" s="400"/>
      <c r="C68" s="429"/>
      <c r="D68" s="397"/>
      <c r="E68" s="402"/>
    </row>
    <row r="69" spans="1:5" ht="15.75">
      <c r="A69" s="401"/>
      <c r="B69" s="400"/>
      <c r="C69" s="429"/>
      <c r="D69" s="397"/>
      <c r="E69" s="402"/>
    </row>
    <row r="70" spans="1:5" ht="15.75">
      <c r="A70" s="401"/>
      <c r="B70" s="400"/>
      <c r="C70" s="429"/>
      <c r="D70" s="397"/>
      <c r="E70" s="402"/>
    </row>
    <row r="71" spans="1:5" ht="15.75">
      <c r="A71" s="401"/>
      <c r="B71" s="400"/>
      <c r="C71" s="429"/>
      <c r="D71" s="397"/>
      <c r="E71" s="402"/>
    </row>
    <row r="72" spans="1:5" ht="15.75">
      <c r="A72" s="401"/>
      <c r="B72" s="400"/>
      <c r="C72" s="429"/>
      <c r="D72" s="397"/>
      <c r="E72" s="402"/>
    </row>
    <row r="73" spans="1:5" ht="15.75">
      <c r="A73" s="401"/>
      <c r="B73" s="400"/>
      <c r="C73" s="429"/>
      <c r="D73" s="397"/>
      <c r="E73" s="402"/>
    </row>
    <row r="74" spans="1:5" ht="15.75">
      <c r="A74" s="401"/>
      <c r="B74" s="400"/>
      <c r="C74" s="429"/>
      <c r="D74" s="397"/>
      <c r="E74" s="402"/>
    </row>
    <row r="75" spans="1:5" ht="15.75">
      <c r="A75" s="401"/>
      <c r="B75" s="400"/>
      <c r="C75" s="429"/>
      <c r="D75" s="397"/>
      <c r="E75" s="402"/>
    </row>
    <row r="76" spans="1:5" ht="15.75">
      <c r="A76" s="401"/>
      <c r="B76" s="400"/>
      <c r="C76" s="429"/>
      <c r="D76" s="397"/>
      <c r="E76" s="402"/>
    </row>
    <row r="77" spans="1:5" ht="15.75">
      <c r="A77" s="401"/>
      <c r="B77" s="400"/>
      <c r="C77" s="429"/>
      <c r="D77" s="397"/>
      <c r="E77" s="402"/>
    </row>
    <row r="78" spans="1:5" ht="15.75">
      <c r="A78" s="401"/>
      <c r="B78" s="400"/>
      <c r="C78" s="429"/>
      <c r="D78" s="397"/>
      <c r="E78" s="402"/>
    </row>
    <row r="79" spans="1:5" ht="15.75">
      <c r="A79" s="401"/>
      <c r="B79" s="400"/>
      <c r="C79" s="429"/>
      <c r="D79" s="397"/>
      <c r="E79" s="402"/>
    </row>
    <row r="80" spans="1:5" ht="15.75">
      <c r="A80" s="401"/>
      <c r="B80" s="400"/>
      <c r="C80" s="429"/>
      <c r="D80" s="397"/>
      <c r="E80" s="402"/>
    </row>
    <row r="81" spans="1:5" ht="15.75">
      <c r="A81" s="401"/>
      <c r="B81" s="400"/>
      <c r="C81" s="429"/>
      <c r="D81" s="397"/>
      <c r="E81" s="402"/>
    </row>
    <row r="82" spans="1:5" ht="15.75">
      <c r="A82" s="401"/>
      <c r="B82" s="400"/>
      <c r="C82" s="429"/>
      <c r="D82" s="397"/>
      <c r="E82" s="402"/>
    </row>
    <row r="83" spans="1:5" ht="15.75">
      <c r="A83" s="401"/>
      <c r="B83" s="400"/>
      <c r="C83" s="429"/>
      <c r="D83" s="397"/>
      <c r="E83" s="402"/>
    </row>
    <row r="84" spans="1:5" ht="15.75">
      <c r="A84" s="401"/>
      <c r="B84" s="400"/>
      <c r="C84" s="429"/>
      <c r="D84" s="397"/>
      <c r="E84" s="402"/>
    </row>
    <row r="85" spans="1:5" ht="15.75">
      <c r="A85" s="401"/>
      <c r="B85" s="400"/>
      <c r="C85" s="429"/>
      <c r="D85" s="397"/>
      <c r="E85" s="402"/>
    </row>
    <row r="86" spans="1:5" ht="15.75">
      <c r="A86" s="401"/>
      <c r="B86" s="400"/>
      <c r="C86" s="429"/>
      <c r="D86" s="397"/>
      <c r="E86" s="402"/>
    </row>
    <row r="87" spans="1:5" ht="15.75">
      <c r="A87" s="401"/>
      <c r="B87" s="400"/>
      <c r="C87" s="429"/>
      <c r="D87" s="397"/>
      <c r="E87" s="402"/>
    </row>
    <row r="88" spans="1:5" ht="15.75">
      <c r="A88" s="401"/>
      <c r="B88" s="400"/>
      <c r="C88" s="429"/>
      <c r="D88" s="397"/>
      <c r="E88" s="402"/>
    </row>
    <row r="89" spans="1:5" ht="15.75">
      <c r="A89" s="401"/>
      <c r="B89" s="400"/>
      <c r="C89" s="429"/>
      <c r="D89" s="397"/>
      <c r="E89" s="402"/>
    </row>
    <row r="90" spans="1:5" ht="15.75">
      <c r="A90" s="401"/>
      <c r="B90" s="400"/>
      <c r="C90" s="429"/>
      <c r="D90" s="397"/>
      <c r="E90" s="402"/>
    </row>
    <row r="91" spans="1:5" ht="15.75">
      <c r="A91" s="401"/>
      <c r="B91" s="400"/>
      <c r="C91" s="429"/>
      <c r="D91" s="397"/>
      <c r="E91" s="402"/>
    </row>
    <row r="92" spans="1:5" ht="15.75">
      <c r="A92" s="401"/>
      <c r="B92" s="400"/>
      <c r="C92" s="429"/>
      <c r="D92" s="397"/>
      <c r="E92" s="402"/>
    </row>
    <row r="93" spans="1:5" ht="15.75">
      <c r="A93" s="401"/>
      <c r="B93" s="400"/>
      <c r="C93" s="429"/>
      <c r="D93" s="397"/>
      <c r="E93" s="402"/>
    </row>
    <row r="94" spans="1:5" ht="15.75">
      <c r="A94" s="401"/>
      <c r="B94" s="400"/>
      <c r="C94" s="429"/>
      <c r="D94" s="397"/>
      <c r="E94" s="402"/>
    </row>
    <row r="95" spans="1:5" ht="15.75">
      <c r="A95" s="401"/>
      <c r="B95" s="400"/>
      <c r="C95" s="429"/>
      <c r="D95" s="397"/>
      <c r="E95" s="402"/>
    </row>
    <row r="96" spans="1:5" ht="15.75">
      <c r="A96" s="401"/>
      <c r="B96" s="400"/>
      <c r="C96" s="429"/>
      <c r="D96" s="397"/>
      <c r="E96" s="402"/>
    </row>
    <row r="97" spans="1:5" ht="15.75">
      <c r="A97" s="401"/>
      <c r="B97" s="400"/>
      <c r="C97" s="429"/>
      <c r="D97" s="397"/>
      <c r="E97" s="402"/>
    </row>
    <row r="98" spans="1:5" ht="15.75">
      <c r="A98" s="401"/>
      <c r="B98" s="400"/>
      <c r="C98" s="429"/>
      <c r="D98" s="397"/>
      <c r="E98" s="402"/>
    </row>
    <row r="99" spans="1:5" ht="15.75">
      <c r="A99" s="401"/>
      <c r="B99" s="400"/>
      <c r="C99" s="429"/>
      <c r="D99" s="397"/>
      <c r="E99" s="402"/>
    </row>
    <row r="100" spans="1:5" ht="15.75">
      <c r="A100" s="401"/>
      <c r="B100" s="400"/>
      <c r="C100" s="429"/>
      <c r="D100" s="397"/>
      <c r="E100" s="402"/>
    </row>
    <row r="101" spans="1:5" ht="15.75">
      <c r="A101" s="401"/>
      <c r="B101" s="400"/>
      <c r="C101" s="429"/>
      <c r="D101" s="397"/>
      <c r="E101" s="402"/>
    </row>
    <row r="102" spans="1:5" ht="15.75">
      <c r="A102" s="401"/>
      <c r="B102" s="400"/>
      <c r="C102" s="429"/>
      <c r="D102" s="397"/>
      <c r="E102" s="402"/>
    </row>
    <row r="103" spans="1:5" ht="15.75">
      <c r="A103" s="401"/>
      <c r="B103" s="400"/>
      <c r="C103" s="429"/>
      <c r="D103" s="397"/>
      <c r="E103" s="402"/>
    </row>
    <row r="104" spans="1:5" ht="15.75">
      <c r="A104" s="401"/>
      <c r="B104" s="400"/>
      <c r="C104" s="429"/>
      <c r="D104" s="397"/>
      <c r="E104" s="402"/>
    </row>
    <row r="105" spans="1:5" ht="15.75">
      <c r="A105" s="401"/>
      <c r="B105" s="400"/>
      <c r="C105" s="429"/>
      <c r="D105" s="397"/>
      <c r="E105" s="402"/>
    </row>
    <row r="106" spans="1:5" ht="15.75">
      <c r="A106" s="401"/>
      <c r="B106" s="400"/>
      <c r="C106" s="429"/>
      <c r="D106" s="397"/>
      <c r="E106" s="402"/>
    </row>
    <row r="107" spans="1:5" ht="15.75">
      <c r="A107" s="401"/>
      <c r="B107" s="400"/>
      <c r="C107" s="429"/>
      <c r="D107" s="397"/>
      <c r="E107" s="402"/>
    </row>
    <row r="108" spans="1:5" ht="15.75">
      <c r="A108" s="401"/>
      <c r="B108" s="400"/>
      <c r="C108" s="429"/>
      <c r="D108" s="397"/>
      <c r="E108" s="402"/>
    </row>
    <row r="109" spans="1:5" ht="15.75">
      <c r="A109" s="401"/>
      <c r="B109" s="400"/>
      <c r="C109" s="429"/>
      <c r="D109" s="397"/>
      <c r="E109" s="402"/>
    </row>
    <row r="110" spans="1:5" ht="15.75">
      <c r="A110" s="401"/>
      <c r="B110" s="400"/>
      <c r="C110" s="429"/>
      <c r="D110" s="397"/>
      <c r="E110" s="402"/>
    </row>
    <row r="111" spans="1:5" ht="15.75">
      <c r="A111" s="401"/>
      <c r="B111" s="400"/>
      <c r="C111" s="429"/>
      <c r="D111" s="397"/>
      <c r="E111" s="402"/>
    </row>
    <row r="112" spans="1:5">
      <c r="A112" s="401"/>
      <c r="B112" s="400"/>
      <c r="C112" s="429"/>
      <c r="D112" s="397"/>
      <c r="E112" s="397"/>
    </row>
    <row r="113" spans="1:5">
      <c r="A113" s="401"/>
      <c r="B113" s="400"/>
      <c r="C113" s="429"/>
      <c r="D113" s="397"/>
      <c r="E113" s="397"/>
    </row>
    <row r="114" spans="1:5">
      <c r="A114" s="401"/>
      <c r="B114" s="400"/>
      <c r="C114" s="429"/>
      <c r="D114" s="397"/>
      <c r="E114" s="397"/>
    </row>
    <row r="115" spans="1:5">
      <c r="A115" s="401"/>
      <c r="B115" s="400"/>
      <c r="C115" s="429"/>
      <c r="D115" s="397"/>
      <c r="E115" s="397"/>
    </row>
    <row r="116" spans="1:5">
      <c r="A116" s="401"/>
      <c r="B116" s="400"/>
      <c r="C116" s="429"/>
      <c r="D116" s="397"/>
      <c r="E116" s="397"/>
    </row>
    <row r="117" spans="1:5">
      <c r="A117" s="401"/>
      <c r="B117" s="400"/>
      <c r="C117" s="429"/>
      <c r="D117" s="397"/>
      <c r="E117" s="397"/>
    </row>
    <row r="118" spans="1:5">
      <c r="A118" s="401"/>
      <c r="B118" s="400"/>
      <c r="C118" s="429"/>
      <c r="D118" s="397"/>
      <c r="E118" s="397"/>
    </row>
    <row r="119" spans="1:5">
      <c r="A119" s="401"/>
      <c r="B119" s="400"/>
      <c r="C119" s="429"/>
      <c r="D119" s="397"/>
      <c r="E119" s="397"/>
    </row>
    <row r="120" spans="1:5">
      <c r="A120" s="401"/>
      <c r="B120" s="400"/>
      <c r="C120" s="429"/>
      <c r="D120" s="397"/>
      <c r="E120" s="397"/>
    </row>
    <row r="121" spans="1:5">
      <c r="A121" s="401"/>
      <c r="B121" s="400"/>
      <c r="C121" s="429"/>
      <c r="D121" s="397"/>
      <c r="E121" s="397"/>
    </row>
    <row r="122" spans="1:5">
      <c r="A122" s="401"/>
      <c r="B122" s="400"/>
      <c r="C122" s="429"/>
      <c r="D122" s="397"/>
      <c r="E122" s="397"/>
    </row>
    <row r="123" spans="1:5">
      <c r="A123" s="401"/>
      <c r="B123" s="400"/>
      <c r="C123" s="429"/>
      <c r="D123" s="397"/>
      <c r="E123" s="397"/>
    </row>
    <row r="124" spans="1:5">
      <c r="A124" s="401"/>
      <c r="B124" s="400"/>
      <c r="C124" s="429"/>
      <c r="D124" s="397"/>
      <c r="E124" s="397"/>
    </row>
    <row r="125" spans="1:5">
      <c r="A125" s="401"/>
      <c r="B125" s="400"/>
      <c r="C125" s="429"/>
      <c r="D125" s="397"/>
      <c r="E125" s="397"/>
    </row>
    <row r="126" spans="1:5">
      <c r="A126" s="401"/>
      <c r="B126" s="400"/>
      <c r="C126" s="429"/>
      <c r="D126" s="397"/>
      <c r="E126" s="397"/>
    </row>
    <row r="127" spans="1:5">
      <c r="A127" s="401"/>
      <c r="B127" s="400"/>
      <c r="C127" s="429"/>
      <c r="D127" s="397"/>
      <c r="E127" s="397"/>
    </row>
    <row r="128" spans="1:5">
      <c r="A128" s="401"/>
      <c r="B128" s="400"/>
      <c r="C128" s="429"/>
      <c r="D128" s="397"/>
      <c r="E128" s="397"/>
    </row>
    <row r="129" spans="1:5">
      <c r="A129" s="401"/>
      <c r="B129" s="400"/>
      <c r="C129" s="429"/>
      <c r="D129" s="397"/>
      <c r="E129" s="397"/>
    </row>
    <row r="130" spans="1:5">
      <c r="A130" s="401"/>
      <c r="B130" s="400"/>
      <c r="C130" s="429"/>
      <c r="D130" s="397"/>
      <c r="E130" s="397"/>
    </row>
    <row r="131" spans="1:5">
      <c r="A131" s="401"/>
      <c r="B131" s="400"/>
      <c r="C131" s="429"/>
      <c r="D131" s="397"/>
      <c r="E131" s="397"/>
    </row>
    <row r="132" spans="1:5">
      <c r="A132" s="401"/>
      <c r="B132" s="400"/>
      <c r="C132" s="429"/>
      <c r="D132" s="397"/>
      <c r="E132" s="397"/>
    </row>
    <row r="133" spans="1:5">
      <c r="A133" s="401"/>
      <c r="B133" s="400"/>
      <c r="C133" s="429"/>
      <c r="D133" s="397"/>
      <c r="E133" s="397"/>
    </row>
    <row r="134" spans="1:5">
      <c r="A134" s="401"/>
      <c r="B134" s="400"/>
      <c r="C134" s="429"/>
      <c r="D134" s="397"/>
      <c r="E134" s="397"/>
    </row>
    <row r="135" spans="1:5">
      <c r="A135" s="401"/>
      <c r="B135" s="400"/>
      <c r="C135" s="429"/>
      <c r="D135" s="397"/>
      <c r="E135" s="397"/>
    </row>
    <row r="136" spans="1:5">
      <c r="A136" s="401"/>
      <c r="B136" s="400"/>
      <c r="C136" s="429"/>
      <c r="D136" s="397"/>
      <c r="E136" s="397"/>
    </row>
    <row r="137" spans="1:5">
      <c r="A137" s="401"/>
      <c r="B137" s="400"/>
      <c r="C137" s="429"/>
      <c r="D137" s="397"/>
      <c r="E137" s="397"/>
    </row>
    <row r="138" spans="1:5">
      <c r="A138" s="401"/>
      <c r="B138" s="400"/>
      <c r="C138" s="429"/>
      <c r="D138" s="397"/>
      <c r="E138" s="397"/>
    </row>
    <row r="139" spans="1:5">
      <c r="A139" s="401"/>
      <c r="B139" s="400"/>
      <c r="C139" s="429"/>
      <c r="D139" s="397"/>
      <c r="E139" s="397"/>
    </row>
    <row r="140" spans="1:5">
      <c r="A140" s="401"/>
      <c r="B140" s="400"/>
      <c r="C140" s="429"/>
      <c r="D140" s="397"/>
      <c r="E140" s="397"/>
    </row>
    <row r="141" spans="1:5">
      <c r="A141" s="401"/>
      <c r="B141" s="400"/>
      <c r="C141" s="429"/>
      <c r="D141" s="397"/>
      <c r="E141" s="397"/>
    </row>
    <row r="142" spans="1:5">
      <c r="A142" s="401"/>
      <c r="B142" s="400"/>
      <c r="C142" s="429"/>
      <c r="D142" s="397"/>
      <c r="E142" s="397"/>
    </row>
    <row r="143" spans="1:5">
      <c r="A143" s="401"/>
      <c r="B143" s="400"/>
      <c r="C143" s="429"/>
      <c r="D143" s="397"/>
      <c r="E143" s="397"/>
    </row>
    <row r="144" spans="1:5">
      <c r="A144" s="401"/>
      <c r="B144" s="400"/>
      <c r="C144" s="429"/>
      <c r="D144" s="397"/>
      <c r="E144" s="397"/>
    </row>
    <row r="145" spans="1:5">
      <c r="A145" s="401"/>
      <c r="B145" s="400"/>
      <c r="C145" s="429"/>
      <c r="D145" s="397"/>
      <c r="E145" s="397"/>
    </row>
    <row r="146" spans="1:5">
      <c r="A146" s="401"/>
      <c r="B146" s="400"/>
      <c r="C146" s="429"/>
      <c r="D146" s="397"/>
      <c r="E146" s="397"/>
    </row>
    <row r="147" spans="1:5">
      <c r="A147" s="401"/>
      <c r="B147" s="400"/>
      <c r="C147" s="429"/>
      <c r="D147" s="397"/>
      <c r="E147" s="397"/>
    </row>
    <row r="148" spans="1:5">
      <c r="A148" s="401"/>
      <c r="B148" s="400"/>
      <c r="C148" s="429"/>
      <c r="D148" s="397"/>
      <c r="E148" s="397"/>
    </row>
    <row r="149" spans="1:5">
      <c r="A149" s="401"/>
      <c r="B149" s="400"/>
      <c r="C149" s="429"/>
      <c r="D149" s="397"/>
      <c r="E149" s="397"/>
    </row>
    <row r="150" spans="1:5">
      <c r="A150" s="401"/>
      <c r="B150" s="400"/>
      <c r="C150" s="429"/>
      <c r="D150" s="397"/>
      <c r="E150" s="397"/>
    </row>
    <row r="151" spans="1:5">
      <c r="A151" s="401"/>
      <c r="B151" s="400"/>
      <c r="C151" s="429"/>
      <c r="D151" s="397"/>
      <c r="E151" s="397"/>
    </row>
    <row r="152" spans="1:5">
      <c r="A152" s="401"/>
      <c r="B152" s="400"/>
      <c r="C152" s="429"/>
      <c r="D152" s="397"/>
      <c r="E152" s="397"/>
    </row>
    <row r="153" spans="1:5">
      <c r="A153" s="401"/>
      <c r="B153" s="400"/>
      <c r="C153" s="429"/>
      <c r="D153" s="397"/>
      <c r="E153" s="397"/>
    </row>
    <row r="154" spans="1:5">
      <c r="A154" s="401"/>
      <c r="B154" s="400"/>
      <c r="C154" s="429"/>
      <c r="D154" s="397"/>
      <c r="E154" s="397"/>
    </row>
    <row r="155" spans="1:5">
      <c r="A155" s="401"/>
      <c r="B155" s="400"/>
      <c r="C155" s="429"/>
      <c r="D155" s="397"/>
      <c r="E155" s="397"/>
    </row>
    <row r="156" spans="1:5">
      <c r="A156" s="401"/>
      <c r="B156" s="400"/>
      <c r="C156" s="429"/>
      <c r="D156" s="397"/>
      <c r="E156" s="397"/>
    </row>
    <row r="157" spans="1:5">
      <c r="A157" s="401"/>
      <c r="B157" s="400"/>
      <c r="C157" s="429"/>
      <c r="D157" s="397"/>
      <c r="E157" s="397"/>
    </row>
    <row r="158" spans="1:5">
      <c r="A158" s="401"/>
      <c r="B158" s="400"/>
      <c r="C158" s="429"/>
      <c r="D158" s="397"/>
      <c r="E158" s="397"/>
    </row>
    <row r="159" spans="1:5">
      <c r="A159" s="401"/>
      <c r="B159" s="400"/>
      <c r="C159" s="429"/>
      <c r="D159" s="397"/>
      <c r="E159" s="397"/>
    </row>
    <row r="160" spans="1:5">
      <c r="A160" s="401"/>
      <c r="B160" s="400"/>
      <c r="C160" s="429"/>
      <c r="D160" s="397"/>
      <c r="E160" s="397"/>
    </row>
    <row r="161" spans="1:5">
      <c r="A161" s="401"/>
      <c r="B161" s="400"/>
      <c r="C161" s="429"/>
      <c r="D161" s="397"/>
      <c r="E161" s="397"/>
    </row>
    <row r="162" spans="1:5">
      <c r="A162" s="401"/>
      <c r="B162" s="400"/>
      <c r="C162" s="429"/>
      <c r="D162" s="397"/>
      <c r="E162" s="397"/>
    </row>
    <row r="163" spans="1:5">
      <c r="A163" s="401"/>
      <c r="B163" s="400"/>
      <c r="C163" s="429"/>
      <c r="D163" s="397"/>
      <c r="E163" s="397"/>
    </row>
    <row r="164" spans="1:5">
      <c r="A164" s="401"/>
      <c r="B164" s="400"/>
      <c r="C164" s="429"/>
      <c r="D164" s="397"/>
      <c r="E164" s="397"/>
    </row>
    <row r="165" spans="1:5">
      <c r="A165" s="401"/>
      <c r="B165" s="400"/>
      <c r="C165" s="429"/>
      <c r="D165" s="397"/>
      <c r="E165" s="397"/>
    </row>
    <row r="166" spans="1:5">
      <c r="A166" s="401"/>
      <c r="B166" s="400"/>
      <c r="C166" s="429"/>
      <c r="D166" s="397"/>
      <c r="E166" s="397"/>
    </row>
    <row r="167" spans="1:5">
      <c r="A167" s="401"/>
      <c r="B167" s="400"/>
      <c r="C167" s="429"/>
      <c r="D167" s="397"/>
      <c r="E167" s="397"/>
    </row>
    <row r="168" spans="1:5">
      <c r="A168" s="401"/>
      <c r="B168" s="400"/>
      <c r="C168" s="429"/>
      <c r="D168" s="397"/>
      <c r="E168" s="397"/>
    </row>
    <row r="169" spans="1:5">
      <c r="A169" s="401"/>
      <c r="B169" s="400"/>
      <c r="C169" s="429"/>
      <c r="D169" s="397"/>
      <c r="E169" s="397"/>
    </row>
    <row r="170" spans="1:5">
      <c r="A170" s="401"/>
      <c r="B170" s="400"/>
      <c r="C170" s="429"/>
      <c r="D170" s="397"/>
      <c r="E170" s="397"/>
    </row>
    <row r="171" spans="1:5">
      <c r="A171" s="401"/>
      <c r="B171" s="400"/>
      <c r="C171" s="429"/>
      <c r="D171" s="397"/>
      <c r="E171" s="397"/>
    </row>
    <row r="172" spans="1:5">
      <c r="A172" s="401"/>
      <c r="B172" s="400"/>
      <c r="C172" s="429"/>
      <c r="D172" s="397"/>
      <c r="E172" s="397"/>
    </row>
    <row r="173" spans="1:5">
      <c r="A173" s="401"/>
      <c r="B173" s="400"/>
      <c r="C173" s="429"/>
      <c r="D173" s="397"/>
      <c r="E173" s="397"/>
    </row>
    <row r="174" spans="1:5">
      <c r="A174" s="401"/>
      <c r="B174" s="400"/>
      <c r="C174" s="429"/>
      <c r="D174" s="397"/>
      <c r="E174" s="397"/>
    </row>
    <row r="175" spans="1:5">
      <c r="A175" s="401"/>
      <c r="B175" s="400"/>
      <c r="C175" s="429"/>
      <c r="D175" s="397"/>
      <c r="E175" s="397"/>
    </row>
    <row r="176" spans="1:5">
      <c r="A176" s="401"/>
      <c r="B176" s="400"/>
      <c r="C176" s="429"/>
      <c r="D176" s="397"/>
      <c r="E176" s="397"/>
    </row>
    <row r="177" spans="1:5">
      <c r="A177" s="401"/>
      <c r="B177" s="400"/>
      <c r="C177" s="429"/>
      <c r="D177" s="397"/>
      <c r="E177" s="397"/>
    </row>
    <row r="178" spans="1:5">
      <c r="A178" s="401"/>
      <c r="B178" s="400"/>
      <c r="C178" s="429"/>
      <c r="D178" s="397"/>
      <c r="E178" s="397"/>
    </row>
    <row r="179" spans="1:5">
      <c r="A179" s="401"/>
      <c r="B179" s="400"/>
      <c r="C179" s="429"/>
      <c r="D179" s="397"/>
      <c r="E179" s="397"/>
    </row>
    <row r="180" spans="1:5">
      <c r="A180" s="401"/>
      <c r="B180" s="400"/>
      <c r="C180" s="429"/>
      <c r="D180" s="397"/>
      <c r="E180" s="397"/>
    </row>
    <row r="181" spans="1:5">
      <c r="A181" s="401"/>
      <c r="B181" s="400"/>
      <c r="C181" s="429"/>
      <c r="D181" s="397"/>
      <c r="E181" s="397"/>
    </row>
    <row r="182" spans="1:5">
      <c r="A182" s="401"/>
      <c r="B182" s="400"/>
      <c r="C182" s="429"/>
      <c r="D182" s="397"/>
      <c r="E182" s="397"/>
    </row>
    <row r="183" spans="1:5">
      <c r="A183" s="401"/>
      <c r="B183" s="400"/>
      <c r="C183" s="429"/>
      <c r="D183" s="397"/>
      <c r="E183" s="397"/>
    </row>
    <row r="184" spans="1:5">
      <c r="A184" s="401"/>
      <c r="B184" s="400"/>
      <c r="C184" s="429"/>
      <c r="D184" s="397"/>
      <c r="E184" s="397"/>
    </row>
    <row r="185" spans="1:5">
      <c r="A185" s="401"/>
      <c r="B185" s="400"/>
      <c r="C185" s="429"/>
      <c r="D185" s="397"/>
      <c r="E185" s="397"/>
    </row>
    <row r="186" spans="1:5">
      <c r="A186" s="401"/>
      <c r="B186" s="400"/>
      <c r="C186" s="429"/>
      <c r="D186" s="397"/>
      <c r="E186" s="397"/>
    </row>
    <row r="187" spans="1:5">
      <c r="A187" s="401"/>
      <c r="B187" s="400"/>
      <c r="C187" s="429"/>
      <c r="D187" s="397"/>
      <c r="E187" s="397"/>
    </row>
    <row r="188" spans="1:5">
      <c r="A188" s="401"/>
      <c r="B188" s="400"/>
      <c r="C188" s="429"/>
      <c r="D188" s="397"/>
      <c r="E188" s="397"/>
    </row>
    <row r="189" spans="1:5">
      <c r="A189" s="401"/>
      <c r="B189" s="400"/>
      <c r="C189" s="429"/>
      <c r="D189" s="397"/>
      <c r="E189" s="397"/>
    </row>
    <row r="190" spans="1:5">
      <c r="A190" s="401"/>
      <c r="B190" s="400"/>
      <c r="C190" s="429"/>
      <c r="D190" s="397"/>
      <c r="E190" s="397"/>
    </row>
    <row r="191" spans="1:5">
      <c r="A191" s="401"/>
      <c r="B191" s="400"/>
      <c r="C191" s="429"/>
      <c r="D191" s="397"/>
      <c r="E191" s="397"/>
    </row>
    <row r="192" spans="1:5">
      <c r="A192" s="401"/>
      <c r="B192" s="400"/>
      <c r="C192" s="429"/>
      <c r="D192" s="397"/>
      <c r="E192" s="397"/>
    </row>
    <row r="193" spans="1:5">
      <c r="A193" s="401"/>
      <c r="B193" s="400"/>
      <c r="C193" s="429"/>
      <c r="D193" s="397"/>
      <c r="E193" s="397"/>
    </row>
    <row r="194" spans="1:5">
      <c r="A194" s="401"/>
      <c r="B194" s="400"/>
      <c r="C194" s="429"/>
      <c r="D194" s="397"/>
      <c r="E194" s="397"/>
    </row>
    <row r="195" spans="1:5">
      <c r="A195" s="401"/>
      <c r="B195" s="400"/>
      <c r="C195" s="429"/>
      <c r="D195" s="397"/>
      <c r="E195" s="397"/>
    </row>
    <row r="196" spans="1:5">
      <c r="A196" s="401"/>
      <c r="B196" s="400"/>
      <c r="C196" s="429"/>
      <c r="D196" s="397"/>
      <c r="E196" s="397"/>
    </row>
    <row r="197" spans="1:5">
      <c r="A197" s="401"/>
      <c r="B197" s="400"/>
      <c r="C197" s="429"/>
      <c r="D197" s="397"/>
      <c r="E197" s="397"/>
    </row>
    <row r="198" spans="1:5">
      <c r="A198" s="401"/>
      <c r="B198" s="400"/>
      <c r="C198" s="429"/>
      <c r="D198" s="397"/>
      <c r="E198" s="397"/>
    </row>
    <row r="199" spans="1:5">
      <c r="A199" s="401"/>
      <c r="B199" s="400"/>
      <c r="C199" s="429"/>
      <c r="D199" s="397"/>
      <c r="E199" s="397"/>
    </row>
    <row r="200" spans="1:5">
      <c r="A200" s="401"/>
      <c r="B200" s="400"/>
      <c r="C200" s="429"/>
      <c r="D200" s="397"/>
      <c r="E200" s="397"/>
    </row>
    <row r="201" spans="1:5">
      <c r="A201" s="401"/>
      <c r="B201" s="400"/>
      <c r="C201" s="429"/>
      <c r="D201" s="397"/>
      <c r="E201" s="397"/>
    </row>
    <row r="202" spans="1:5">
      <c r="A202" s="401"/>
      <c r="B202" s="400"/>
      <c r="C202" s="429"/>
      <c r="D202" s="397"/>
      <c r="E202" s="397"/>
    </row>
    <row r="203" spans="1:5">
      <c r="A203" s="401"/>
      <c r="B203" s="400"/>
      <c r="C203" s="429"/>
      <c r="D203" s="397"/>
      <c r="E203" s="397"/>
    </row>
    <row r="204" spans="1:5">
      <c r="A204" s="401"/>
      <c r="B204" s="400"/>
      <c r="C204" s="429"/>
      <c r="D204" s="397"/>
      <c r="E204" s="397"/>
    </row>
    <row r="205" spans="1:5">
      <c r="A205" s="401"/>
      <c r="B205" s="400"/>
      <c r="C205" s="429"/>
      <c r="D205" s="397"/>
      <c r="E205" s="397"/>
    </row>
    <row r="206" spans="1:5">
      <c r="A206" s="401"/>
      <c r="B206" s="400"/>
      <c r="C206" s="429"/>
      <c r="D206" s="397"/>
      <c r="E206" s="397"/>
    </row>
    <row r="207" spans="1:5">
      <c r="A207" s="401"/>
      <c r="B207" s="400"/>
      <c r="C207" s="429"/>
      <c r="D207" s="397"/>
      <c r="E207" s="397"/>
    </row>
    <row r="208" spans="1:5">
      <c r="A208" s="401"/>
      <c r="B208" s="400"/>
      <c r="C208" s="429"/>
      <c r="D208" s="397"/>
      <c r="E208" s="397"/>
    </row>
    <row r="209" spans="1:5">
      <c r="A209" s="401"/>
      <c r="B209" s="400"/>
      <c r="C209" s="429"/>
      <c r="D209" s="397"/>
      <c r="E209" s="397"/>
    </row>
    <row r="210" spans="1:5">
      <c r="A210" s="401"/>
      <c r="B210" s="400"/>
      <c r="C210" s="429"/>
      <c r="D210" s="397"/>
      <c r="E210" s="397"/>
    </row>
    <row r="211" spans="1:5">
      <c r="A211" s="401"/>
      <c r="B211" s="400"/>
      <c r="C211" s="429"/>
      <c r="D211" s="397"/>
      <c r="E211" s="397"/>
    </row>
    <row r="212" spans="1:5">
      <c r="A212" s="401"/>
      <c r="B212" s="400"/>
      <c r="C212" s="429"/>
      <c r="D212" s="397"/>
      <c r="E212" s="397"/>
    </row>
    <row r="213" spans="1:5">
      <c r="A213" s="401"/>
      <c r="B213" s="400"/>
      <c r="C213" s="429"/>
      <c r="D213" s="397"/>
      <c r="E213" s="397"/>
    </row>
    <row r="214" spans="1:5">
      <c r="A214" s="401"/>
      <c r="B214" s="400"/>
      <c r="C214" s="429"/>
      <c r="D214" s="397"/>
      <c r="E214" s="397"/>
    </row>
    <row r="215" spans="1:5">
      <c r="A215" s="401"/>
      <c r="B215" s="400"/>
      <c r="C215" s="429"/>
      <c r="D215" s="397"/>
      <c r="E215" s="397"/>
    </row>
    <row r="216" spans="1:5">
      <c r="A216" s="401"/>
      <c r="B216" s="400"/>
      <c r="C216" s="429"/>
      <c r="D216" s="397"/>
      <c r="E216" s="397"/>
    </row>
    <row r="217" spans="1:5">
      <c r="A217" s="401"/>
      <c r="B217" s="400"/>
      <c r="C217" s="429"/>
      <c r="D217" s="397"/>
      <c r="E217" s="397"/>
    </row>
    <row r="218" spans="1:5">
      <c r="A218" s="401"/>
      <c r="B218" s="400"/>
      <c r="C218" s="429"/>
      <c r="D218" s="397"/>
      <c r="E218" s="397"/>
    </row>
    <row r="219" spans="1:5">
      <c r="A219" s="401"/>
      <c r="B219" s="400"/>
      <c r="C219" s="429"/>
      <c r="D219" s="397"/>
      <c r="E219" s="397"/>
    </row>
    <row r="220" spans="1:5">
      <c r="A220" s="401"/>
      <c r="B220" s="400"/>
      <c r="C220" s="429"/>
      <c r="D220" s="397"/>
      <c r="E220" s="397"/>
    </row>
    <row r="221" spans="1:5">
      <c r="A221" s="401"/>
      <c r="B221" s="400"/>
      <c r="C221" s="429"/>
      <c r="D221" s="397"/>
      <c r="E221" s="397"/>
    </row>
    <row r="222" spans="1:5">
      <c r="A222" s="401"/>
      <c r="B222" s="400"/>
      <c r="C222" s="429"/>
      <c r="D222" s="397"/>
      <c r="E222" s="397"/>
    </row>
    <row r="223" spans="1:5">
      <c r="A223" s="401"/>
      <c r="B223" s="400"/>
      <c r="C223" s="429"/>
      <c r="D223" s="397"/>
      <c r="E223" s="397"/>
    </row>
    <row r="224" spans="1:5">
      <c r="A224" s="401"/>
      <c r="B224" s="400"/>
      <c r="C224" s="429"/>
      <c r="D224" s="397"/>
      <c r="E224" s="397"/>
    </row>
    <row r="225" spans="1:5">
      <c r="A225" s="401"/>
      <c r="B225" s="400"/>
      <c r="C225" s="429"/>
      <c r="D225" s="397"/>
      <c r="E225" s="397"/>
    </row>
    <row r="226" spans="1:5">
      <c r="A226" s="401"/>
      <c r="B226" s="400"/>
      <c r="C226" s="429"/>
      <c r="D226" s="397"/>
      <c r="E226" s="397"/>
    </row>
    <row r="227" spans="1:5">
      <c r="A227" s="401"/>
      <c r="B227" s="400"/>
      <c r="C227" s="429"/>
      <c r="D227" s="397"/>
      <c r="E227" s="397"/>
    </row>
    <row r="228" spans="1:5">
      <c r="A228" s="401"/>
      <c r="B228" s="400"/>
      <c r="C228" s="429"/>
      <c r="D228" s="397"/>
      <c r="E228" s="397"/>
    </row>
    <row r="229" spans="1:5">
      <c r="A229" s="401"/>
      <c r="B229" s="400"/>
      <c r="C229" s="429"/>
      <c r="D229" s="397"/>
      <c r="E229" s="397"/>
    </row>
    <row r="230" spans="1:5">
      <c r="A230" s="401"/>
      <c r="B230" s="400"/>
      <c r="C230" s="429"/>
      <c r="D230" s="397"/>
      <c r="E230" s="397"/>
    </row>
    <row r="231" spans="1:5">
      <c r="A231" s="401"/>
      <c r="B231" s="400"/>
      <c r="C231" s="429"/>
      <c r="D231" s="397"/>
      <c r="E231" s="397"/>
    </row>
    <row r="232" spans="1:5">
      <c r="A232" s="401"/>
      <c r="B232" s="400"/>
      <c r="C232" s="429"/>
      <c r="D232" s="397"/>
      <c r="E232" s="397"/>
    </row>
    <row r="233" spans="1:5">
      <c r="A233" s="401"/>
      <c r="B233" s="400"/>
      <c r="C233" s="429"/>
      <c r="D233" s="397"/>
      <c r="E233" s="397"/>
    </row>
    <row r="234" spans="1:5">
      <c r="A234" s="401"/>
      <c r="B234" s="400"/>
      <c r="C234" s="429"/>
      <c r="D234" s="397"/>
      <c r="E234" s="397"/>
    </row>
    <row r="235" spans="1:5">
      <c r="A235" s="401"/>
      <c r="B235" s="400"/>
      <c r="C235" s="429"/>
      <c r="D235" s="397"/>
      <c r="E235" s="397"/>
    </row>
    <row r="236" spans="1:5">
      <c r="A236" s="401"/>
      <c r="B236" s="400"/>
      <c r="C236" s="429"/>
      <c r="D236" s="397"/>
      <c r="E236" s="397"/>
    </row>
    <row r="237" spans="1:5">
      <c r="A237" s="401"/>
      <c r="B237" s="400"/>
      <c r="C237" s="429"/>
      <c r="D237" s="397"/>
      <c r="E237" s="397"/>
    </row>
    <row r="238" spans="1:5">
      <c r="A238" s="401"/>
      <c r="B238" s="400"/>
      <c r="C238" s="429"/>
      <c r="D238" s="397"/>
      <c r="E238" s="397"/>
    </row>
    <row r="239" spans="1:5">
      <c r="A239" s="401"/>
      <c r="B239" s="400"/>
      <c r="C239" s="429"/>
      <c r="D239" s="397"/>
      <c r="E239" s="397"/>
    </row>
    <row r="240" spans="1:5">
      <c r="A240" s="401"/>
      <c r="B240" s="400"/>
      <c r="C240" s="429"/>
      <c r="D240" s="397"/>
      <c r="E240" s="397"/>
    </row>
    <row r="241" spans="1:5">
      <c r="A241" s="401"/>
      <c r="B241" s="400"/>
      <c r="C241" s="429"/>
      <c r="D241" s="397"/>
      <c r="E241" s="397"/>
    </row>
    <row r="242" spans="1:5">
      <c r="A242" s="401"/>
      <c r="B242" s="400"/>
      <c r="C242" s="429"/>
      <c r="D242" s="397"/>
      <c r="E242" s="397"/>
    </row>
    <row r="243" spans="1:5">
      <c r="A243" s="401"/>
      <c r="B243" s="400"/>
      <c r="C243" s="429"/>
      <c r="D243" s="397"/>
      <c r="E243" s="397"/>
    </row>
    <row r="244" spans="1:5">
      <c r="A244" s="401"/>
      <c r="B244" s="400"/>
      <c r="C244" s="429"/>
      <c r="D244" s="397"/>
      <c r="E244" s="397"/>
    </row>
    <row r="245" spans="1:5">
      <c r="A245" s="401"/>
      <c r="B245" s="400"/>
      <c r="C245" s="429"/>
      <c r="D245" s="397"/>
      <c r="E245" s="397"/>
    </row>
    <row r="246" spans="1:5">
      <c r="A246" s="401"/>
      <c r="B246" s="400"/>
      <c r="C246" s="429"/>
      <c r="D246" s="397"/>
      <c r="E246" s="397"/>
    </row>
    <row r="247" spans="1:5">
      <c r="A247" s="401"/>
      <c r="B247" s="400"/>
      <c r="C247" s="429"/>
      <c r="D247" s="397"/>
      <c r="E247" s="397"/>
    </row>
    <row r="248" spans="1:5">
      <c r="A248" s="401"/>
      <c r="B248" s="400"/>
      <c r="C248" s="429"/>
      <c r="D248" s="397"/>
      <c r="E248" s="397"/>
    </row>
    <row r="249" spans="1:5">
      <c r="A249" s="401"/>
      <c r="B249" s="400"/>
      <c r="C249" s="429"/>
      <c r="D249" s="397"/>
      <c r="E249" s="397"/>
    </row>
    <row r="250" spans="1:5">
      <c r="A250" s="401"/>
      <c r="B250" s="400"/>
      <c r="C250" s="429"/>
      <c r="D250" s="397"/>
      <c r="E250" s="397"/>
    </row>
    <row r="251" spans="1:5">
      <c r="A251" s="401"/>
      <c r="B251" s="400"/>
      <c r="C251" s="429"/>
      <c r="D251" s="397"/>
      <c r="E251" s="397"/>
    </row>
    <row r="252" spans="1:5">
      <c r="A252" s="401"/>
      <c r="B252" s="400"/>
      <c r="C252" s="429"/>
      <c r="D252" s="397"/>
      <c r="E252" s="397"/>
    </row>
    <row r="253" spans="1:5">
      <c r="A253" s="401"/>
      <c r="B253" s="400"/>
      <c r="C253" s="429"/>
      <c r="D253" s="397"/>
      <c r="E253" s="397"/>
    </row>
    <row r="254" spans="1:5">
      <c r="A254" s="401"/>
      <c r="B254" s="400"/>
      <c r="C254" s="429"/>
      <c r="D254" s="397"/>
      <c r="E254" s="397"/>
    </row>
    <row r="255" spans="1:5">
      <c r="A255" s="401"/>
      <c r="B255" s="400"/>
      <c r="C255" s="429"/>
      <c r="D255" s="397"/>
      <c r="E255" s="397"/>
    </row>
    <row r="256" spans="1:5">
      <c r="A256" s="401"/>
      <c r="B256" s="400"/>
      <c r="C256" s="429"/>
      <c r="D256" s="397"/>
      <c r="E256" s="397"/>
    </row>
    <row r="257" spans="1:5">
      <c r="A257" s="401"/>
      <c r="B257" s="400"/>
      <c r="C257" s="429"/>
      <c r="D257" s="397"/>
      <c r="E257" s="397"/>
    </row>
    <row r="258" spans="1:5">
      <c r="A258" s="401"/>
      <c r="B258" s="400"/>
      <c r="C258" s="429"/>
      <c r="D258" s="397"/>
      <c r="E258" s="397"/>
    </row>
    <row r="259" spans="1:5">
      <c r="A259" s="401"/>
      <c r="B259" s="400"/>
      <c r="C259" s="429"/>
      <c r="D259" s="397"/>
      <c r="E259" s="397"/>
    </row>
    <row r="260" spans="1:5">
      <c r="A260" s="401"/>
      <c r="B260" s="400"/>
      <c r="C260" s="429"/>
      <c r="D260" s="397"/>
      <c r="E260" s="397"/>
    </row>
    <row r="261" spans="1:5">
      <c r="A261" s="401"/>
      <c r="B261" s="400"/>
      <c r="C261" s="429"/>
      <c r="D261" s="397"/>
      <c r="E261" s="397"/>
    </row>
    <row r="262" spans="1:5">
      <c r="A262" s="401"/>
      <c r="B262" s="400"/>
      <c r="C262" s="429"/>
      <c r="D262" s="397"/>
      <c r="E262" s="397"/>
    </row>
    <row r="263" spans="1:5">
      <c r="A263" s="401"/>
      <c r="B263" s="400"/>
      <c r="C263" s="429"/>
      <c r="D263" s="397"/>
      <c r="E263" s="397"/>
    </row>
    <row r="264" spans="1:5">
      <c r="A264" s="401"/>
      <c r="B264" s="400"/>
      <c r="C264" s="429"/>
      <c r="D264" s="397"/>
      <c r="E264" s="397"/>
    </row>
    <row r="265" spans="1:5">
      <c r="A265" s="401"/>
      <c r="B265" s="400"/>
      <c r="C265" s="429"/>
      <c r="D265" s="397"/>
      <c r="E265" s="397"/>
    </row>
    <row r="266" spans="1:5">
      <c r="A266" s="401"/>
      <c r="B266" s="400"/>
      <c r="C266" s="429"/>
      <c r="D266" s="397"/>
      <c r="E266" s="397"/>
    </row>
    <row r="267" spans="1:5">
      <c r="A267" s="401"/>
      <c r="B267" s="400"/>
      <c r="C267" s="429"/>
      <c r="D267" s="397"/>
      <c r="E267" s="397"/>
    </row>
    <row r="268" spans="1:5">
      <c r="A268" s="401"/>
      <c r="B268" s="400"/>
      <c r="C268" s="429"/>
      <c r="D268" s="397"/>
      <c r="E268" s="397"/>
    </row>
    <row r="269" spans="1:5">
      <c r="A269" s="401"/>
      <c r="B269" s="400"/>
      <c r="C269" s="429"/>
      <c r="D269" s="397"/>
      <c r="E269" s="397"/>
    </row>
    <row r="270" spans="1:5">
      <c r="A270" s="401"/>
      <c r="B270" s="400"/>
      <c r="C270" s="429"/>
      <c r="D270" s="397"/>
      <c r="E270" s="397"/>
    </row>
    <row r="271" spans="1:5">
      <c r="A271" s="401"/>
      <c r="B271" s="400"/>
      <c r="C271" s="429"/>
      <c r="D271" s="397"/>
      <c r="E271" s="397"/>
    </row>
    <row r="272" spans="1:5">
      <c r="A272" s="401"/>
      <c r="B272" s="400"/>
      <c r="C272" s="429"/>
      <c r="D272" s="397"/>
      <c r="E272" s="397"/>
    </row>
    <row r="273" spans="1:5">
      <c r="A273" s="401"/>
      <c r="B273" s="400"/>
      <c r="C273" s="429"/>
      <c r="D273" s="397"/>
      <c r="E273" s="397"/>
    </row>
    <row r="274" spans="1:5">
      <c r="A274" s="401"/>
      <c r="B274" s="400"/>
      <c r="C274" s="429"/>
      <c r="D274" s="397"/>
      <c r="E274" s="397"/>
    </row>
    <row r="275" spans="1:5">
      <c r="A275" s="401"/>
      <c r="B275" s="400"/>
      <c r="C275" s="429"/>
      <c r="D275" s="397"/>
      <c r="E275" s="397"/>
    </row>
    <row r="276" spans="1:5">
      <c r="A276" s="401"/>
      <c r="B276" s="400"/>
      <c r="C276" s="429"/>
      <c r="D276" s="397"/>
      <c r="E276" s="397"/>
    </row>
    <row r="277" spans="1:5">
      <c r="A277" s="401"/>
      <c r="B277" s="400"/>
      <c r="C277" s="429"/>
      <c r="D277" s="397"/>
      <c r="E277" s="397"/>
    </row>
    <row r="278" spans="1:5">
      <c r="A278" s="401"/>
      <c r="B278" s="400"/>
      <c r="C278" s="429"/>
      <c r="D278" s="397"/>
      <c r="E278" s="397"/>
    </row>
    <row r="279" spans="1:5">
      <c r="A279" s="401"/>
      <c r="B279" s="400"/>
      <c r="C279" s="429"/>
      <c r="D279" s="397"/>
      <c r="E279" s="397"/>
    </row>
    <row r="280" spans="1:5">
      <c r="A280" s="401"/>
      <c r="B280" s="400"/>
      <c r="C280" s="429"/>
      <c r="D280" s="397"/>
      <c r="E280" s="397"/>
    </row>
    <row r="281" spans="1:5">
      <c r="A281" s="401"/>
      <c r="B281" s="400"/>
      <c r="C281" s="429"/>
      <c r="D281" s="397"/>
      <c r="E281" s="397"/>
    </row>
    <row r="282" spans="1:5">
      <c r="A282" s="401"/>
      <c r="B282" s="400"/>
      <c r="C282" s="429"/>
      <c r="D282" s="397"/>
      <c r="E282" s="397"/>
    </row>
    <row r="283" spans="1:5">
      <c r="A283" s="401"/>
      <c r="B283" s="400"/>
      <c r="C283" s="429"/>
      <c r="D283" s="397"/>
      <c r="E283" s="397"/>
    </row>
    <row r="284" spans="1:5">
      <c r="A284" s="401"/>
      <c r="B284" s="400"/>
      <c r="C284" s="429"/>
      <c r="D284" s="397"/>
      <c r="E284" s="397"/>
    </row>
    <row r="285" spans="1:5">
      <c r="A285" s="401"/>
      <c r="B285" s="400"/>
      <c r="C285" s="429"/>
      <c r="D285" s="397"/>
      <c r="E285" s="397"/>
    </row>
    <row r="286" spans="1:5">
      <c r="A286" s="401"/>
      <c r="B286" s="400"/>
      <c r="C286" s="429"/>
      <c r="D286" s="397"/>
      <c r="E286" s="397"/>
    </row>
    <row r="287" spans="1:5">
      <c r="A287" s="401"/>
      <c r="B287" s="400"/>
      <c r="C287" s="429"/>
      <c r="D287" s="397"/>
      <c r="E287" s="397"/>
    </row>
    <row r="288" spans="1:5">
      <c r="A288" s="401"/>
      <c r="B288" s="400"/>
      <c r="C288" s="429"/>
      <c r="D288" s="397"/>
      <c r="E288" s="397"/>
    </row>
    <row r="289" spans="1:5">
      <c r="A289" s="401"/>
      <c r="B289" s="400"/>
      <c r="C289" s="429"/>
      <c r="D289" s="397"/>
      <c r="E289" s="397"/>
    </row>
    <row r="290" spans="1:5">
      <c r="A290" s="401"/>
      <c r="B290" s="400"/>
      <c r="C290" s="429"/>
      <c r="D290" s="397"/>
      <c r="E290" s="397"/>
    </row>
    <row r="291" spans="1:5">
      <c r="A291" s="401"/>
      <c r="B291" s="400"/>
      <c r="C291" s="429"/>
      <c r="D291" s="397"/>
      <c r="E291" s="397"/>
    </row>
    <row r="292" spans="1:5">
      <c r="A292" s="401"/>
      <c r="B292" s="400"/>
      <c r="C292" s="429"/>
      <c r="D292" s="397"/>
      <c r="E292" s="397"/>
    </row>
    <row r="293" spans="1:5">
      <c r="A293" s="401"/>
      <c r="B293" s="400"/>
      <c r="C293" s="429"/>
      <c r="D293" s="397"/>
      <c r="E293" s="397"/>
    </row>
    <row r="294" spans="1:5">
      <c r="A294" s="401"/>
      <c r="B294" s="400"/>
      <c r="C294" s="429"/>
      <c r="D294" s="397"/>
      <c r="E294" s="397"/>
    </row>
    <row r="295" spans="1:5">
      <c r="A295" s="401"/>
      <c r="B295" s="400"/>
      <c r="C295" s="429"/>
      <c r="D295" s="397"/>
      <c r="E295" s="397"/>
    </row>
    <row r="296" spans="1:5">
      <c r="A296" s="401"/>
      <c r="B296" s="400"/>
      <c r="C296" s="429"/>
      <c r="D296" s="397"/>
      <c r="E296" s="397"/>
    </row>
    <row r="297" spans="1:5">
      <c r="A297" s="401"/>
      <c r="B297" s="400"/>
      <c r="C297" s="429"/>
      <c r="D297" s="397"/>
      <c r="E297" s="397"/>
    </row>
    <row r="298" spans="1:5">
      <c r="A298" s="401"/>
      <c r="B298" s="400"/>
      <c r="C298" s="429"/>
      <c r="D298" s="397"/>
      <c r="E298" s="397"/>
    </row>
    <row r="299" spans="1:5">
      <c r="A299" s="401"/>
      <c r="B299" s="400"/>
      <c r="C299" s="429"/>
      <c r="D299" s="397"/>
      <c r="E299" s="397"/>
    </row>
    <row r="300" spans="1:5">
      <c r="A300" s="401"/>
      <c r="B300" s="400"/>
      <c r="C300" s="429"/>
      <c r="D300" s="397"/>
      <c r="E300" s="397"/>
    </row>
    <row r="301" spans="1:5">
      <c r="A301" s="401"/>
      <c r="B301" s="400"/>
      <c r="C301" s="429"/>
      <c r="D301" s="397"/>
      <c r="E301" s="397"/>
    </row>
    <row r="302" spans="1:5">
      <c r="A302" s="401"/>
      <c r="B302" s="400"/>
      <c r="C302" s="429"/>
      <c r="D302" s="397"/>
      <c r="E302" s="397"/>
    </row>
    <row r="303" spans="1:5">
      <c r="A303" s="401"/>
      <c r="B303" s="400"/>
      <c r="C303" s="429"/>
      <c r="D303" s="397"/>
      <c r="E303" s="397"/>
    </row>
    <row r="304" spans="1:5">
      <c r="A304" s="401"/>
      <c r="B304" s="400"/>
      <c r="C304" s="429"/>
      <c r="D304" s="397"/>
      <c r="E304" s="397"/>
    </row>
    <row r="305" spans="1:5">
      <c r="A305" s="401"/>
      <c r="B305" s="400"/>
      <c r="C305" s="429"/>
      <c r="D305" s="397"/>
      <c r="E305" s="397"/>
    </row>
    <row r="306" spans="1:5">
      <c r="A306" s="401"/>
      <c r="B306" s="400"/>
      <c r="C306" s="429"/>
      <c r="D306" s="397"/>
      <c r="E306" s="397"/>
    </row>
    <row r="307" spans="1:5">
      <c r="A307" s="401"/>
      <c r="B307" s="400"/>
      <c r="C307" s="429"/>
      <c r="D307" s="397"/>
      <c r="E307" s="397"/>
    </row>
    <row r="308" spans="1:5">
      <c r="A308" s="401"/>
      <c r="B308" s="400"/>
      <c r="C308" s="429"/>
      <c r="D308" s="397"/>
      <c r="E308" s="397"/>
    </row>
    <row r="309" spans="1:5">
      <c r="A309" s="401"/>
      <c r="B309" s="400"/>
      <c r="C309" s="429"/>
      <c r="D309" s="397"/>
      <c r="E309" s="397"/>
    </row>
    <row r="310" spans="1:5">
      <c r="A310" s="401"/>
      <c r="B310" s="400"/>
      <c r="C310" s="429"/>
      <c r="D310" s="397"/>
      <c r="E310" s="397"/>
    </row>
    <row r="311" spans="1:5">
      <c r="A311" s="401"/>
      <c r="B311" s="400"/>
      <c r="C311" s="429"/>
      <c r="D311" s="397"/>
      <c r="E311" s="397"/>
    </row>
    <row r="312" spans="1:5">
      <c r="A312" s="401"/>
      <c r="B312" s="400"/>
      <c r="C312" s="429"/>
      <c r="D312" s="397"/>
      <c r="E312" s="397"/>
    </row>
    <row r="313" spans="1:5">
      <c r="A313" s="401"/>
      <c r="B313" s="400"/>
      <c r="C313" s="429"/>
      <c r="D313" s="397"/>
      <c r="E313" s="397"/>
    </row>
    <row r="314" spans="1:5">
      <c r="A314" s="401"/>
      <c r="B314" s="400"/>
      <c r="C314" s="429"/>
      <c r="D314" s="397"/>
      <c r="E314" s="397"/>
    </row>
    <row r="315" spans="1:5">
      <c r="A315" s="401"/>
      <c r="B315" s="400"/>
      <c r="C315" s="429"/>
      <c r="D315" s="397"/>
      <c r="E315" s="397"/>
    </row>
    <row r="316" spans="1:5">
      <c r="A316" s="401"/>
      <c r="B316" s="400"/>
      <c r="C316" s="429"/>
      <c r="D316" s="397"/>
      <c r="E316" s="397"/>
    </row>
    <row r="317" spans="1:5">
      <c r="A317" s="401"/>
      <c r="B317" s="400"/>
      <c r="C317" s="429"/>
      <c r="D317" s="397"/>
      <c r="E317" s="397"/>
    </row>
    <row r="318" spans="1:5">
      <c r="A318" s="401"/>
      <c r="B318" s="400"/>
      <c r="C318" s="429"/>
      <c r="D318" s="397"/>
      <c r="E318" s="397"/>
    </row>
    <row r="319" spans="1:5">
      <c r="A319" s="401"/>
      <c r="B319" s="400"/>
      <c r="C319" s="429"/>
      <c r="D319" s="397"/>
      <c r="E319" s="397"/>
    </row>
    <row r="320" spans="1:5">
      <c r="A320" s="401"/>
      <c r="B320" s="400"/>
      <c r="C320" s="429"/>
      <c r="D320" s="397"/>
      <c r="E320" s="397"/>
    </row>
    <row r="321" spans="1:5">
      <c r="A321" s="401"/>
      <c r="B321" s="400"/>
      <c r="C321" s="429"/>
      <c r="D321" s="397"/>
      <c r="E321" s="397"/>
    </row>
    <row r="322" spans="1:5">
      <c r="A322" s="401"/>
      <c r="B322" s="400"/>
      <c r="C322" s="429"/>
      <c r="D322" s="397"/>
      <c r="E322" s="397"/>
    </row>
    <row r="323" spans="1:5">
      <c r="A323" s="401"/>
      <c r="B323" s="400"/>
      <c r="C323" s="429"/>
      <c r="D323" s="397"/>
      <c r="E323" s="397"/>
    </row>
    <row r="324" spans="1:5">
      <c r="A324" s="401"/>
      <c r="B324" s="400"/>
      <c r="C324" s="429"/>
      <c r="D324" s="397"/>
      <c r="E324" s="397"/>
    </row>
    <row r="325" spans="1:5">
      <c r="A325" s="401"/>
      <c r="B325" s="400"/>
      <c r="C325" s="429"/>
      <c r="D325" s="397"/>
      <c r="E325" s="397"/>
    </row>
    <row r="326" spans="1:5">
      <c r="A326" s="401"/>
      <c r="B326" s="400"/>
      <c r="C326" s="429"/>
      <c r="D326" s="397"/>
      <c r="E326" s="397"/>
    </row>
    <row r="327" spans="1:5">
      <c r="A327" s="401"/>
      <c r="B327" s="400"/>
      <c r="C327" s="429"/>
      <c r="D327" s="397"/>
      <c r="E327" s="397"/>
    </row>
    <row r="328" spans="1:5">
      <c r="A328" s="401"/>
      <c r="B328" s="400"/>
      <c r="C328" s="429"/>
      <c r="D328" s="397"/>
      <c r="E328" s="397"/>
    </row>
    <row r="329" spans="1:5">
      <c r="A329" s="401"/>
      <c r="B329" s="400"/>
      <c r="C329" s="429"/>
      <c r="D329" s="397"/>
      <c r="E329" s="397"/>
    </row>
    <row r="330" spans="1:5">
      <c r="A330" s="401"/>
      <c r="B330" s="400"/>
      <c r="C330" s="429"/>
      <c r="D330" s="397"/>
      <c r="E330" s="397"/>
    </row>
    <row r="331" spans="1:5">
      <c r="A331" s="401"/>
      <c r="B331" s="400"/>
      <c r="C331" s="429"/>
      <c r="D331" s="397"/>
      <c r="E331" s="397"/>
    </row>
    <row r="332" spans="1:5">
      <c r="A332" s="401"/>
      <c r="B332" s="400"/>
      <c r="C332" s="429"/>
      <c r="D332" s="397"/>
      <c r="E332" s="397"/>
    </row>
    <row r="333" spans="1:5">
      <c r="A333" s="401"/>
      <c r="B333" s="400"/>
      <c r="C333" s="429"/>
      <c r="D333" s="397"/>
      <c r="E333" s="397"/>
    </row>
    <row r="334" spans="1:5">
      <c r="A334" s="401"/>
      <c r="B334" s="400"/>
      <c r="C334" s="429"/>
      <c r="D334" s="397"/>
      <c r="E334" s="397"/>
    </row>
    <row r="335" spans="1:5">
      <c r="A335" s="401"/>
      <c r="B335" s="400"/>
      <c r="C335" s="429"/>
      <c r="D335" s="397"/>
      <c r="E335" s="397"/>
    </row>
    <row r="336" spans="1:5">
      <c r="A336" s="401"/>
      <c r="B336" s="400"/>
      <c r="C336" s="429"/>
      <c r="D336" s="397"/>
      <c r="E336" s="397"/>
    </row>
    <row r="337" spans="1:5">
      <c r="A337" s="401"/>
      <c r="B337" s="400"/>
      <c r="C337" s="429"/>
      <c r="D337" s="397"/>
      <c r="E337" s="397"/>
    </row>
    <row r="338" spans="1:5">
      <c r="A338" s="401"/>
      <c r="B338" s="400"/>
      <c r="C338" s="429"/>
      <c r="D338" s="397"/>
      <c r="E338" s="397"/>
    </row>
    <row r="339" spans="1:5">
      <c r="A339" s="401"/>
      <c r="B339" s="400"/>
      <c r="C339" s="429"/>
      <c r="D339" s="397"/>
      <c r="E339" s="397"/>
    </row>
    <row r="340" spans="1:5">
      <c r="A340" s="401"/>
      <c r="B340" s="400"/>
      <c r="C340" s="429"/>
      <c r="D340" s="397"/>
      <c r="E340" s="397"/>
    </row>
    <row r="341" spans="1:5">
      <c r="A341" s="401"/>
      <c r="B341" s="400"/>
      <c r="C341" s="429"/>
      <c r="D341" s="397"/>
      <c r="E341" s="397"/>
    </row>
    <row r="342" spans="1:5">
      <c r="A342" s="401"/>
      <c r="B342" s="400"/>
      <c r="C342" s="429"/>
      <c r="D342" s="397"/>
      <c r="E342" s="397"/>
    </row>
    <row r="343" spans="1:5">
      <c r="A343" s="401"/>
      <c r="B343" s="400"/>
      <c r="C343" s="429"/>
      <c r="D343" s="397"/>
      <c r="E343" s="397"/>
    </row>
    <row r="344" spans="1:5">
      <c r="A344" s="401"/>
      <c r="B344" s="400"/>
      <c r="C344" s="429"/>
      <c r="D344" s="397"/>
      <c r="E344" s="397"/>
    </row>
    <row r="345" spans="1:5">
      <c r="A345" s="401"/>
      <c r="B345" s="400"/>
      <c r="C345" s="429"/>
      <c r="D345" s="397"/>
      <c r="E345" s="397"/>
    </row>
    <row r="346" spans="1:5">
      <c r="A346" s="401"/>
      <c r="B346" s="400"/>
      <c r="C346" s="429"/>
      <c r="D346" s="397"/>
      <c r="E346" s="397"/>
    </row>
    <row r="347" spans="1:5">
      <c r="A347" s="401"/>
      <c r="B347" s="400"/>
      <c r="C347" s="429"/>
      <c r="D347" s="397"/>
      <c r="E347" s="397"/>
    </row>
    <row r="348" spans="1:5">
      <c r="A348" s="401"/>
      <c r="B348" s="400"/>
      <c r="C348" s="429"/>
      <c r="D348" s="397"/>
      <c r="E348" s="397"/>
    </row>
    <row r="349" spans="1:5">
      <c r="A349" s="401"/>
      <c r="B349" s="400"/>
      <c r="C349" s="429"/>
      <c r="D349" s="397"/>
      <c r="E349" s="397"/>
    </row>
    <row r="350" spans="1:5">
      <c r="A350" s="401"/>
      <c r="B350" s="400"/>
      <c r="C350" s="429"/>
      <c r="D350" s="397"/>
      <c r="E350" s="397"/>
    </row>
    <row r="351" spans="1:5">
      <c r="A351" s="401"/>
      <c r="B351" s="400"/>
      <c r="C351" s="429"/>
      <c r="D351" s="397"/>
      <c r="E351" s="397"/>
    </row>
    <row r="352" spans="1:5">
      <c r="A352" s="401"/>
      <c r="B352" s="400"/>
      <c r="C352" s="429"/>
      <c r="D352" s="397"/>
      <c r="E352" s="397"/>
    </row>
    <row r="353" spans="1:5">
      <c r="A353" s="401"/>
      <c r="B353" s="400"/>
      <c r="C353" s="429"/>
      <c r="D353" s="397"/>
      <c r="E353" s="397"/>
    </row>
    <row r="354" spans="1:5">
      <c r="A354" s="401"/>
      <c r="B354" s="400"/>
      <c r="C354" s="429"/>
      <c r="D354" s="397"/>
      <c r="E354" s="397"/>
    </row>
    <row r="355" spans="1:5">
      <c r="A355" s="401"/>
      <c r="B355" s="400"/>
      <c r="C355" s="429"/>
      <c r="D355" s="397"/>
      <c r="E355" s="397"/>
    </row>
    <row r="356" spans="1:5">
      <c r="A356" s="401"/>
      <c r="B356" s="400"/>
      <c r="C356" s="429"/>
      <c r="D356" s="397"/>
      <c r="E356" s="397"/>
    </row>
    <row r="357" spans="1:5">
      <c r="A357" s="401"/>
      <c r="B357" s="400"/>
      <c r="C357" s="429"/>
      <c r="D357" s="397"/>
      <c r="E357" s="397"/>
    </row>
    <row r="358" spans="1:5">
      <c r="A358" s="401"/>
      <c r="B358" s="400"/>
      <c r="C358" s="429"/>
      <c r="D358" s="397"/>
      <c r="E358" s="397"/>
    </row>
    <row r="359" spans="1:5">
      <c r="A359" s="401"/>
      <c r="B359" s="400"/>
      <c r="C359" s="429"/>
      <c r="D359" s="397"/>
      <c r="E359" s="397"/>
    </row>
    <row r="360" spans="1:5">
      <c r="A360" s="401"/>
      <c r="B360" s="400"/>
      <c r="C360" s="429"/>
      <c r="D360" s="397"/>
      <c r="E360" s="397"/>
    </row>
    <row r="361" spans="1:5">
      <c r="A361" s="401"/>
      <c r="B361" s="400"/>
      <c r="C361" s="429"/>
      <c r="D361" s="397"/>
      <c r="E361" s="397"/>
    </row>
    <row r="362" spans="1:5">
      <c r="A362" s="401"/>
      <c r="B362" s="400"/>
      <c r="C362" s="429"/>
      <c r="D362" s="397"/>
      <c r="E362" s="397"/>
    </row>
    <row r="363" spans="1:5">
      <c r="A363" s="401"/>
      <c r="B363" s="400"/>
      <c r="C363" s="429"/>
      <c r="D363" s="397"/>
      <c r="E363" s="397"/>
    </row>
    <row r="364" spans="1:5">
      <c r="A364" s="401"/>
      <c r="B364" s="400"/>
      <c r="C364" s="429"/>
      <c r="D364" s="397"/>
      <c r="E364" s="397"/>
    </row>
    <row r="365" spans="1:5">
      <c r="A365" s="401"/>
      <c r="B365" s="400"/>
      <c r="C365" s="429"/>
      <c r="D365" s="397"/>
      <c r="E365" s="397"/>
    </row>
    <row r="366" spans="1:5">
      <c r="A366" s="401"/>
      <c r="B366" s="400"/>
      <c r="C366" s="429"/>
      <c r="D366" s="397"/>
      <c r="E366" s="397"/>
    </row>
    <row r="367" spans="1:5">
      <c r="A367" s="401"/>
      <c r="B367" s="400"/>
      <c r="C367" s="429"/>
      <c r="D367" s="397"/>
      <c r="E367" s="397"/>
    </row>
    <row r="368" spans="1:5">
      <c r="A368" s="401"/>
      <c r="B368" s="400"/>
      <c r="C368" s="429"/>
      <c r="D368" s="397"/>
      <c r="E368" s="397"/>
    </row>
    <row r="369" spans="1:5">
      <c r="A369" s="401"/>
      <c r="B369" s="400"/>
      <c r="C369" s="429"/>
      <c r="D369" s="397"/>
      <c r="E369" s="397"/>
    </row>
    <row r="370" spans="1:5">
      <c r="A370" s="401"/>
      <c r="B370" s="400"/>
      <c r="C370" s="429"/>
      <c r="D370" s="397"/>
      <c r="E370" s="397"/>
    </row>
    <row r="371" spans="1:5">
      <c r="A371" s="401"/>
      <c r="B371" s="400"/>
      <c r="C371" s="429"/>
      <c r="D371" s="397"/>
      <c r="E371" s="397"/>
    </row>
    <row r="372" spans="1:5">
      <c r="A372" s="401"/>
      <c r="B372" s="400"/>
      <c r="C372" s="429"/>
      <c r="D372" s="397"/>
      <c r="E372" s="397"/>
    </row>
    <row r="373" spans="1:5">
      <c r="A373" s="401"/>
      <c r="B373" s="400"/>
      <c r="C373" s="429"/>
      <c r="D373" s="397"/>
      <c r="E373" s="397"/>
    </row>
    <row r="374" spans="1:5">
      <c r="A374" s="401"/>
      <c r="B374" s="400"/>
      <c r="C374" s="429"/>
      <c r="D374" s="397"/>
      <c r="E374" s="397"/>
    </row>
    <row r="375" spans="1:5">
      <c r="A375" s="401"/>
      <c r="B375" s="400"/>
      <c r="C375" s="429"/>
      <c r="D375" s="397"/>
      <c r="E375" s="397"/>
    </row>
    <row r="376" spans="1:5">
      <c r="A376" s="401"/>
      <c r="B376" s="400"/>
      <c r="C376" s="429"/>
      <c r="D376" s="397"/>
      <c r="E376" s="397"/>
    </row>
    <row r="377" spans="1:5">
      <c r="A377" s="401"/>
      <c r="B377" s="400"/>
      <c r="C377" s="429"/>
      <c r="D377" s="397"/>
      <c r="E377" s="397"/>
    </row>
    <row r="378" spans="1:5">
      <c r="A378" s="401"/>
      <c r="B378" s="400"/>
      <c r="C378" s="429"/>
      <c r="D378" s="397"/>
      <c r="E378" s="397"/>
    </row>
    <row r="379" spans="1:5">
      <c r="A379" s="401"/>
      <c r="B379" s="400"/>
      <c r="C379" s="429"/>
      <c r="D379" s="397"/>
      <c r="E379" s="397"/>
    </row>
    <row r="380" spans="1:5">
      <c r="A380" s="401"/>
      <c r="B380" s="400"/>
      <c r="C380" s="429"/>
      <c r="D380" s="397"/>
      <c r="E380" s="397"/>
    </row>
    <row r="381" spans="1:5">
      <c r="A381" s="401"/>
      <c r="B381" s="400"/>
      <c r="C381" s="429"/>
      <c r="D381" s="397"/>
      <c r="E381" s="397"/>
    </row>
    <row r="382" spans="1:5">
      <c r="A382" s="401"/>
      <c r="B382" s="400"/>
      <c r="C382" s="429"/>
      <c r="D382" s="397"/>
      <c r="E382" s="397"/>
    </row>
    <row r="383" spans="1:5">
      <c r="A383" s="401"/>
      <c r="B383" s="400"/>
      <c r="C383" s="429"/>
      <c r="D383" s="397"/>
      <c r="E383" s="397"/>
    </row>
    <row r="384" spans="1:5">
      <c r="A384" s="401"/>
      <c r="B384" s="400"/>
      <c r="C384" s="429"/>
      <c r="D384" s="397"/>
      <c r="E384" s="397"/>
    </row>
    <row r="385" spans="1:5">
      <c r="A385" s="401"/>
      <c r="B385" s="400"/>
      <c r="C385" s="429"/>
      <c r="D385" s="397"/>
      <c r="E385" s="397"/>
    </row>
    <row r="386" spans="1:5">
      <c r="A386" s="401"/>
      <c r="B386" s="400"/>
      <c r="C386" s="429"/>
      <c r="D386" s="397"/>
      <c r="E386" s="397"/>
    </row>
    <row r="387" spans="1:5">
      <c r="A387" s="401"/>
      <c r="B387" s="400"/>
      <c r="C387" s="429"/>
      <c r="D387" s="397"/>
      <c r="E387" s="397"/>
    </row>
    <row r="388" spans="1:5">
      <c r="A388" s="401"/>
      <c r="B388" s="400"/>
      <c r="C388" s="429"/>
      <c r="D388" s="397"/>
      <c r="E388" s="397"/>
    </row>
    <row r="389" spans="1:5">
      <c r="A389" s="401"/>
      <c r="B389" s="400"/>
      <c r="C389" s="429"/>
      <c r="D389" s="397"/>
      <c r="E389" s="397"/>
    </row>
    <row r="390" spans="1:5">
      <c r="A390" s="401"/>
      <c r="B390" s="400"/>
      <c r="C390" s="429"/>
      <c r="D390" s="397"/>
      <c r="E390" s="397"/>
    </row>
    <row r="391" spans="1:5">
      <c r="A391" s="401"/>
      <c r="B391" s="400"/>
      <c r="C391" s="429"/>
      <c r="D391" s="397"/>
      <c r="E391" s="397"/>
    </row>
    <row r="392" spans="1:5">
      <c r="A392" s="401"/>
      <c r="B392" s="400"/>
      <c r="C392" s="429"/>
      <c r="D392" s="397"/>
      <c r="E392" s="397"/>
    </row>
    <row r="393" spans="1:5">
      <c r="A393" s="401"/>
      <c r="B393" s="400"/>
      <c r="C393" s="429"/>
      <c r="D393" s="397"/>
      <c r="E393" s="397"/>
    </row>
    <row r="394" spans="1:5">
      <c r="A394" s="401"/>
      <c r="B394" s="400"/>
      <c r="C394" s="429"/>
      <c r="D394" s="397"/>
      <c r="E394" s="397"/>
    </row>
    <row r="395" spans="1:5">
      <c r="A395" s="401"/>
      <c r="B395" s="400"/>
      <c r="C395" s="429"/>
      <c r="D395" s="397"/>
      <c r="E395" s="397"/>
    </row>
    <row r="396" spans="1:5">
      <c r="A396" s="401"/>
      <c r="B396" s="400"/>
      <c r="C396" s="429"/>
      <c r="D396" s="397"/>
      <c r="E396" s="397"/>
    </row>
    <row r="397" spans="1:5">
      <c r="A397" s="401"/>
      <c r="B397" s="400"/>
      <c r="C397" s="429"/>
      <c r="D397" s="397"/>
      <c r="E397" s="397"/>
    </row>
    <row r="398" spans="1:5">
      <c r="A398" s="401"/>
      <c r="B398" s="400"/>
      <c r="C398" s="429"/>
      <c r="D398" s="397"/>
      <c r="E398" s="397"/>
    </row>
    <row r="399" spans="1:5">
      <c r="A399" s="401"/>
      <c r="B399" s="400"/>
      <c r="C399" s="429"/>
      <c r="D399" s="397"/>
      <c r="E399" s="397"/>
    </row>
    <row r="400" spans="1:5">
      <c r="A400" s="401"/>
      <c r="B400" s="400"/>
      <c r="C400" s="429"/>
      <c r="D400" s="397"/>
      <c r="E400" s="397"/>
    </row>
    <row r="401" spans="1:5">
      <c r="A401" s="401"/>
      <c r="B401" s="400"/>
      <c r="C401" s="429"/>
      <c r="D401" s="397"/>
      <c r="E401" s="397"/>
    </row>
    <row r="402" spans="1:5">
      <c r="A402" s="401"/>
      <c r="B402" s="400"/>
      <c r="C402" s="429"/>
      <c r="D402" s="397"/>
      <c r="E402" s="397"/>
    </row>
    <row r="403" spans="1:5">
      <c r="A403" s="401"/>
      <c r="B403" s="400"/>
      <c r="C403" s="429"/>
      <c r="D403" s="397"/>
      <c r="E403" s="397"/>
    </row>
    <row r="404" spans="1:5">
      <c r="A404" s="401"/>
      <c r="B404" s="400"/>
      <c r="C404" s="429"/>
      <c r="D404" s="397"/>
      <c r="E404" s="397"/>
    </row>
    <row r="405" spans="1:5">
      <c r="A405" s="401"/>
      <c r="B405" s="400"/>
      <c r="C405" s="429"/>
      <c r="D405" s="397"/>
      <c r="E405" s="397"/>
    </row>
    <row r="406" spans="1:5">
      <c r="A406" s="401"/>
      <c r="B406" s="400"/>
      <c r="C406" s="429"/>
      <c r="D406" s="397"/>
      <c r="E406" s="397"/>
    </row>
    <row r="407" spans="1:5">
      <c r="A407" s="401"/>
      <c r="B407" s="400"/>
      <c r="C407" s="429"/>
      <c r="D407" s="397"/>
      <c r="E407" s="397"/>
    </row>
    <row r="408" spans="1:5">
      <c r="A408" s="401"/>
      <c r="B408" s="400"/>
      <c r="C408" s="429"/>
      <c r="D408" s="397"/>
      <c r="E408" s="397"/>
    </row>
    <row r="409" spans="1:5">
      <c r="A409" s="401"/>
      <c r="B409" s="400"/>
      <c r="C409" s="429"/>
      <c r="D409" s="397"/>
      <c r="E409" s="397"/>
    </row>
    <row r="410" spans="1:5">
      <c r="A410" s="401"/>
      <c r="B410" s="400"/>
      <c r="C410" s="429"/>
      <c r="D410" s="397"/>
      <c r="E410" s="397"/>
    </row>
    <row r="411" spans="1:5">
      <c r="A411" s="401"/>
      <c r="B411" s="400"/>
      <c r="C411" s="429"/>
      <c r="D411" s="397"/>
      <c r="E411" s="397"/>
    </row>
    <row r="412" spans="1:5">
      <c r="A412" s="401"/>
      <c r="B412" s="400"/>
      <c r="C412" s="429"/>
      <c r="D412" s="397"/>
      <c r="E412" s="397"/>
    </row>
    <row r="413" spans="1:5">
      <c r="A413" s="401"/>
      <c r="B413" s="400"/>
      <c r="C413" s="429"/>
      <c r="D413" s="397"/>
      <c r="E413" s="397"/>
    </row>
    <row r="414" spans="1:5">
      <c r="A414" s="401"/>
      <c r="B414" s="400"/>
      <c r="C414" s="429"/>
      <c r="D414" s="397"/>
      <c r="E414" s="397"/>
    </row>
    <row r="415" spans="1:5">
      <c r="A415" s="401"/>
      <c r="B415" s="400"/>
      <c r="C415" s="429"/>
      <c r="D415" s="397"/>
      <c r="E415" s="397"/>
    </row>
    <row r="416" spans="1:5">
      <c r="A416" s="401"/>
      <c r="B416" s="400"/>
      <c r="C416" s="429"/>
      <c r="D416" s="397"/>
      <c r="E416" s="397"/>
    </row>
    <row r="417" spans="1:5">
      <c r="A417" s="401"/>
      <c r="B417" s="400"/>
      <c r="C417" s="429"/>
      <c r="D417" s="397"/>
      <c r="E417" s="397"/>
    </row>
    <row r="418" spans="1:5">
      <c r="A418" s="401"/>
      <c r="B418" s="400"/>
      <c r="C418" s="429"/>
      <c r="D418" s="397"/>
      <c r="E418" s="397"/>
    </row>
    <row r="419" spans="1:5">
      <c r="A419" s="401"/>
      <c r="B419" s="400"/>
      <c r="C419" s="429"/>
      <c r="D419" s="397"/>
      <c r="E419" s="397"/>
    </row>
    <row r="420" spans="1:5">
      <c r="A420" s="401"/>
      <c r="B420" s="400"/>
      <c r="C420" s="429"/>
      <c r="D420" s="397"/>
      <c r="E420" s="397"/>
    </row>
    <row r="421" spans="1:5">
      <c r="A421" s="401"/>
      <c r="B421" s="400"/>
      <c r="C421" s="429"/>
      <c r="D421" s="397"/>
      <c r="E421" s="397"/>
    </row>
    <row r="422" spans="1:5">
      <c r="A422" s="401"/>
      <c r="B422" s="400"/>
      <c r="C422" s="429"/>
      <c r="D422" s="397"/>
      <c r="E422" s="397"/>
    </row>
    <row r="423" spans="1:5">
      <c r="A423" s="401"/>
      <c r="B423" s="400"/>
      <c r="C423" s="429"/>
      <c r="D423" s="397"/>
      <c r="E423" s="397"/>
    </row>
    <row r="424" spans="1:5">
      <c r="A424" s="401"/>
      <c r="B424" s="400"/>
      <c r="C424" s="429"/>
      <c r="D424" s="397"/>
      <c r="E424" s="397"/>
    </row>
    <row r="425" spans="1:5">
      <c r="A425" s="401"/>
      <c r="B425" s="400"/>
      <c r="C425" s="429"/>
      <c r="D425" s="397"/>
      <c r="E425" s="397"/>
    </row>
    <row r="426" spans="1:5">
      <c r="A426" s="401"/>
      <c r="B426" s="400"/>
      <c r="C426" s="429"/>
      <c r="D426" s="397"/>
      <c r="E426" s="397"/>
    </row>
    <row r="427" spans="1:5">
      <c r="A427" s="401"/>
      <c r="B427" s="400"/>
      <c r="C427" s="429"/>
      <c r="D427" s="397"/>
      <c r="E427" s="397"/>
    </row>
    <row r="428" spans="1:5">
      <c r="A428" s="401"/>
      <c r="B428" s="400"/>
      <c r="C428" s="429"/>
      <c r="D428" s="397"/>
      <c r="E428" s="397"/>
    </row>
    <row r="429" spans="1:5">
      <c r="A429" s="401"/>
      <c r="B429" s="400"/>
      <c r="C429" s="429"/>
      <c r="D429" s="397"/>
      <c r="E429" s="397"/>
    </row>
    <row r="430" spans="1:5">
      <c r="A430" s="401"/>
      <c r="B430" s="400"/>
      <c r="C430" s="429"/>
      <c r="D430" s="397"/>
      <c r="E430" s="397"/>
    </row>
    <row r="431" spans="1:5">
      <c r="A431" s="401"/>
      <c r="B431" s="400"/>
      <c r="C431" s="429"/>
      <c r="D431" s="397"/>
      <c r="E431" s="397"/>
    </row>
    <row r="432" spans="1:5">
      <c r="A432" s="401"/>
      <c r="B432" s="400"/>
      <c r="C432" s="429"/>
      <c r="D432" s="397"/>
      <c r="E432" s="397"/>
    </row>
    <row r="433" spans="1:5">
      <c r="A433" s="401"/>
      <c r="B433" s="400"/>
      <c r="C433" s="429"/>
      <c r="D433" s="397"/>
      <c r="E433" s="397"/>
    </row>
    <row r="434" spans="1:5">
      <c r="A434" s="401"/>
      <c r="B434" s="400"/>
      <c r="C434" s="429"/>
      <c r="D434" s="397"/>
      <c r="E434" s="397"/>
    </row>
    <row r="435" spans="1:5">
      <c r="A435" s="401"/>
      <c r="B435" s="400"/>
      <c r="C435" s="429"/>
      <c r="D435" s="397"/>
      <c r="E435" s="397"/>
    </row>
    <row r="436" spans="1:5">
      <c r="A436" s="401"/>
      <c r="B436" s="400"/>
      <c r="C436" s="429"/>
      <c r="D436" s="397"/>
      <c r="E436" s="397"/>
    </row>
    <row r="437" spans="1:5">
      <c r="A437" s="401"/>
      <c r="B437" s="400"/>
      <c r="C437" s="429"/>
      <c r="D437" s="397"/>
      <c r="E437" s="397"/>
    </row>
    <row r="438" spans="1:5">
      <c r="A438" s="401"/>
      <c r="B438" s="400"/>
      <c r="C438" s="429"/>
      <c r="D438" s="397"/>
      <c r="E438" s="397"/>
    </row>
    <row r="439" spans="1:5">
      <c r="A439" s="401"/>
      <c r="B439" s="400"/>
      <c r="C439" s="429"/>
      <c r="D439" s="397"/>
      <c r="E439" s="397"/>
    </row>
    <row r="440" spans="1:5">
      <c r="A440" s="401"/>
      <c r="B440" s="400"/>
      <c r="C440" s="429"/>
      <c r="D440" s="397"/>
      <c r="E440" s="397"/>
    </row>
    <row r="441" spans="1:5">
      <c r="A441" s="401"/>
      <c r="B441" s="400"/>
      <c r="C441" s="429"/>
      <c r="D441" s="397"/>
      <c r="E441" s="397"/>
    </row>
    <row r="442" spans="1:5">
      <c r="A442" s="401"/>
      <c r="B442" s="400"/>
      <c r="C442" s="429"/>
      <c r="D442" s="397"/>
      <c r="E442" s="397"/>
    </row>
    <row r="443" spans="1:5">
      <c r="A443" s="401"/>
      <c r="B443" s="400"/>
      <c r="C443" s="429"/>
      <c r="D443" s="397"/>
      <c r="E443" s="397"/>
    </row>
    <row r="444" spans="1:5">
      <c r="A444" s="401"/>
      <c r="B444" s="400"/>
      <c r="C444" s="429"/>
      <c r="D444" s="397"/>
      <c r="E444" s="397"/>
    </row>
    <row r="445" spans="1:5">
      <c r="A445" s="401"/>
      <c r="B445" s="400"/>
      <c r="C445" s="429"/>
      <c r="D445" s="397"/>
      <c r="E445" s="397"/>
    </row>
    <row r="446" spans="1:5">
      <c r="A446" s="401"/>
      <c r="B446" s="400"/>
      <c r="C446" s="429"/>
      <c r="D446" s="397"/>
      <c r="E446" s="397"/>
    </row>
    <row r="447" spans="1:5">
      <c r="A447" s="401"/>
      <c r="B447" s="400"/>
      <c r="C447" s="429"/>
      <c r="D447" s="397"/>
      <c r="E447" s="397"/>
    </row>
    <row r="448" spans="1:5">
      <c r="A448" s="401"/>
      <c r="B448" s="400"/>
      <c r="C448" s="429"/>
      <c r="D448" s="397"/>
      <c r="E448" s="397"/>
    </row>
    <row r="449" spans="1:5">
      <c r="A449" s="401"/>
      <c r="B449" s="400"/>
      <c r="C449" s="429"/>
      <c r="D449" s="397"/>
      <c r="E449" s="397"/>
    </row>
    <row r="450" spans="1:5">
      <c r="A450" s="401"/>
      <c r="B450" s="400"/>
      <c r="C450" s="429"/>
      <c r="D450" s="397"/>
      <c r="E450" s="397"/>
    </row>
    <row r="451" spans="1:5">
      <c r="A451" s="401"/>
      <c r="B451" s="400"/>
      <c r="C451" s="429"/>
      <c r="D451" s="397"/>
      <c r="E451" s="397"/>
    </row>
    <row r="452" spans="1:5">
      <c r="A452" s="401"/>
      <c r="B452" s="400"/>
      <c r="C452" s="429"/>
      <c r="D452" s="397"/>
      <c r="E452" s="397"/>
    </row>
    <row r="453" spans="1:5">
      <c r="A453" s="401"/>
      <c r="B453" s="400"/>
      <c r="C453" s="429"/>
      <c r="D453" s="397"/>
      <c r="E453" s="397"/>
    </row>
    <row r="454" spans="1:5">
      <c r="A454" s="401"/>
      <c r="B454" s="400"/>
      <c r="C454" s="429"/>
      <c r="D454" s="397"/>
      <c r="E454" s="397"/>
    </row>
    <row r="455" spans="1:5">
      <c r="A455" s="401"/>
      <c r="B455" s="400"/>
      <c r="C455" s="429"/>
      <c r="D455" s="397"/>
      <c r="E455" s="397"/>
    </row>
    <row r="456" spans="1:5">
      <c r="A456" s="401"/>
      <c r="B456" s="400"/>
      <c r="C456" s="429"/>
      <c r="D456" s="397"/>
      <c r="E456" s="397"/>
    </row>
    <row r="457" spans="1:5">
      <c r="A457" s="401"/>
      <c r="B457" s="400"/>
      <c r="C457" s="429"/>
      <c r="D457" s="397"/>
      <c r="E457" s="397"/>
    </row>
    <row r="458" spans="1:5">
      <c r="A458" s="401"/>
      <c r="B458" s="400"/>
      <c r="C458" s="429"/>
      <c r="D458" s="397"/>
      <c r="E458" s="397"/>
    </row>
    <row r="459" spans="1:5">
      <c r="A459" s="401"/>
      <c r="B459" s="400"/>
      <c r="C459" s="429"/>
      <c r="D459" s="397"/>
      <c r="E459" s="397"/>
    </row>
    <row r="460" spans="1:5">
      <c r="A460" s="401"/>
      <c r="B460" s="400"/>
      <c r="C460" s="429"/>
      <c r="D460" s="397"/>
      <c r="E460" s="397"/>
    </row>
    <row r="461" spans="1:5">
      <c r="A461" s="401"/>
      <c r="B461" s="400"/>
      <c r="C461" s="429"/>
      <c r="D461" s="397"/>
      <c r="E461" s="397"/>
    </row>
    <row r="462" spans="1:5">
      <c r="A462" s="401"/>
      <c r="B462" s="400"/>
      <c r="C462" s="429"/>
      <c r="D462" s="397"/>
      <c r="E462" s="397"/>
    </row>
    <row r="463" spans="1:5">
      <c r="A463" s="401"/>
      <c r="B463" s="400"/>
      <c r="C463" s="429"/>
      <c r="D463" s="397"/>
      <c r="E463" s="397"/>
    </row>
    <row r="464" spans="1:5">
      <c r="A464" s="401"/>
      <c r="B464" s="400"/>
      <c r="C464" s="429"/>
      <c r="D464" s="397"/>
      <c r="E464" s="397"/>
    </row>
    <row r="465" spans="1:5">
      <c r="A465" s="401"/>
      <c r="B465" s="400"/>
      <c r="C465" s="429"/>
      <c r="D465" s="397"/>
      <c r="E465" s="397"/>
    </row>
    <row r="466" spans="1:5">
      <c r="A466" s="401"/>
      <c r="B466" s="400"/>
      <c r="C466" s="429"/>
      <c r="D466" s="397"/>
      <c r="E466" s="397"/>
    </row>
    <row r="467" spans="1:5">
      <c r="A467" s="401"/>
      <c r="B467" s="400"/>
      <c r="C467" s="429"/>
      <c r="D467" s="397"/>
      <c r="E467" s="397"/>
    </row>
    <row r="468" spans="1:5">
      <c r="A468" s="401"/>
      <c r="B468" s="400"/>
      <c r="C468" s="429"/>
      <c r="D468" s="397"/>
      <c r="E468" s="397"/>
    </row>
    <row r="469" spans="1:5">
      <c r="A469" s="401"/>
      <c r="B469" s="400"/>
      <c r="C469" s="429"/>
      <c r="D469" s="397"/>
      <c r="E469" s="397"/>
    </row>
    <row r="470" spans="1:5">
      <c r="A470" s="401"/>
      <c r="B470" s="400"/>
      <c r="C470" s="429"/>
      <c r="D470" s="397"/>
      <c r="E470" s="397"/>
    </row>
    <row r="471" spans="1:5">
      <c r="A471" s="401"/>
      <c r="B471" s="400"/>
      <c r="C471" s="429"/>
      <c r="D471" s="397"/>
      <c r="E471" s="397"/>
    </row>
    <row r="472" spans="1:5">
      <c r="A472" s="401"/>
      <c r="B472" s="400"/>
      <c r="C472" s="429"/>
      <c r="D472" s="397"/>
      <c r="E472" s="397"/>
    </row>
    <row r="473" spans="1:5">
      <c r="A473" s="401"/>
      <c r="B473" s="400"/>
      <c r="C473" s="429"/>
      <c r="D473" s="397"/>
      <c r="E473" s="397"/>
    </row>
    <row r="474" spans="1:5">
      <c r="A474" s="401"/>
      <c r="B474" s="400"/>
      <c r="C474" s="429"/>
      <c r="D474" s="397"/>
      <c r="E474" s="397"/>
    </row>
    <row r="475" spans="1:5">
      <c r="A475" s="401"/>
      <c r="B475" s="400"/>
      <c r="C475" s="429"/>
      <c r="D475" s="397"/>
      <c r="E475" s="397"/>
    </row>
    <row r="476" spans="1:5">
      <c r="A476" s="401"/>
      <c r="B476" s="400"/>
      <c r="C476" s="429"/>
      <c r="D476" s="397"/>
      <c r="E476" s="397"/>
    </row>
    <row r="477" spans="1:5">
      <c r="A477" s="401"/>
      <c r="B477" s="400"/>
      <c r="C477" s="429"/>
      <c r="D477" s="397"/>
      <c r="E477" s="397"/>
    </row>
    <row r="478" spans="1:5">
      <c r="A478" s="401"/>
      <c r="B478" s="400"/>
      <c r="C478" s="429"/>
      <c r="D478" s="397"/>
      <c r="E478" s="397"/>
    </row>
    <row r="479" spans="1:5">
      <c r="A479" s="401"/>
      <c r="B479" s="400"/>
      <c r="C479" s="429"/>
      <c r="D479" s="397"/>
      <c r="E479" s="397"/>
    </row>
    <row r="480" spans="1:5">
      <c r="A480" s="401"/>
      <c r="B480" s="400"/>
      <c r="C480" s="429"/>
      <c r="D480" s="397"/>
      <c r="E480" s="397"/>
    </row>
    <row r="481" spans="1:5">
      <c r="A481" s="401"/>
      <c r="B481" s="400"/>
      <c r="C481" s="429"/>
      <c r="D481" s="397"/>
      <c r="E481" s="397"/>
    </row>
    <row r="482" spans="1:5">
      <c r="A482" s="401"/>
      <c r="B482" s="400"/>
      <c r="C482" s="429"/>
      <c r="D482" s="397"/>
      <c r="E482" s="397"/>
    </row>
    <row r="483" spans="1:5">
      <c r="A483" s="401"/>
      <c r="B483" s="400"/>
      <c r="C483" s="429"/>
      <c r="D483" s="397"/>
      <c r="E483" s="397"/>
    </row>
    <row r="484" spans="1:5">
      <c r="A484" s="401"/>
      <c r="B484" s="400"/>
      <c r="C484" s="429"/>
      <c r="D484" s="397"/>
      <c r="E484" s="397"/>
    </row>
    <row r="485" spans="1:5">
      <c r="A485" s="401"/>
      <c r="B485" s="400"/>
      <c r="C485" s="429"/>
      <c r="D485" s="397"/>
      <c r="E485" s="397"/>
    </row>
    <row r="486" spans="1:5">
      <c r="A486" s="401"/>
      <c r="B486" s="400"/>
      <c r="C486" s="429"/>
      <c r="D486" s="397"/>
      <c r="E486" s="397"/>
    </row>
    <row r="487" spans="1:5">
      <c r="A487" s="401"/>
      <c r="B487" s="400"/>
      <c r="C487" s="429"/>
      <c r="D487" s="397"/>
      <c r="E487" s="397"/>
    </row>
    <row r="488" spans="1:5">
      <c r="A488" s="401"/>
      <c r="B488" s="400"/>
      <c r="C488" s="429"/>
      <c r="D488" s="397"/>
      <c r="E488" s="397"/>
    </row>
    <row r="489" spans="1:5">
      <c r="A489" s="401"/>
      <c r="B489" s="400"/>
      <c r="C489" s="429"/>
      <c r="D489" s="397"/>
      <c r="E489" s="397"/>
    </row>
    <row r="490" spans="1:5">
      <c r="A490" s="401"/>
      <c r="B490" s="400"/>
      <c r="C490" s="429"/>
      <c r="D490" s="397"/>
      <c r="E490" s="397"/>
    </row>
    <row r="491" spans="1:5">
      <c r="A491" s="401"/>
      <c r="B491" s="400"/>
      <c r="C491" s="429"/>
      <c r="D491" s="397"/>
      <c r="E491" s="397"/>
    </row>
    <row r="492" spans="1:5">
      <c r="A492" s="401"/>
      <c r="B492" s="400"/>
      <c r="C492" s="429"/>
      <c r="D492" s="397"/>
      <c r="E492" s="397"/>
    </row>
    <row r="493" spans="1:5">
      <c r="A493" s="401"/>
      <c r="B493" s="400"/>
      <c r="C493" s="429"/>
      <c r="D493" s="397"/>
      <c r="E493" s="397"/>
    </row>
    <row r="494" spans="1:5">
      <c r="A494" s="401"/>
      <c r="B494" s="400"/>
      <c r="C494" s="429"/>
      <c r="D494" s="397"/>
      <c r="E494" s="397"/>
    </row>
    <row r="495" spans="1:5">
      <c r="A495" s="401"/>
      <c r="B495" s="400"/>
      <c r="C495" s="429"/>
      <c r="D495" s="397"/>
      <c r="E495" s="397"/>
    </row>
    <row r="496" spans="1:5">
      <c r="A496" s="401"/>
      <c r="B496" s="400"/>
      <c r="C496" s="429"/>
      <c r="D496" s="397"/>
      <c r="E496" s="397"/>
    </row>
    <row r="497" spans="1:5">
      <c r="A497" s="401"/>
      <c r="B497" s="400"/>
      <c r="C497" s="429"/>
      <c r="D497" s="397"/>
      <c r="E497" s="397"/>
    </row>
    <row r="498" spans="1:5">
      <c r="A498" s="401"/>
      <c r="B498" s="400"/>
      <c r="C498" s="429"/>
      <c r="D498" s="397"/>
      <c r="E498" s="397"/>
    </row>
    <row r="499" spans="1:5">
      <c r="A499" s="401"/>
      <c r="B499" s="400"/>
      <c r="C499" s="429"/>
      <c r="D499" s="397"/>
      <c r="E499" s="397"/>
    </row>
    <row r="500" spans="1:5">
      <c r="A500" s="401"/>
      <c r="B500" s="400"/>
      <c r="C500" s="429"/>
      <c r="D500" s="397"/>
      <c r="E500" s="397"/>
    </row>
    <row r="501" spans="1:5">
      <c r="A501" s="401"/>
      <c r="B501" s="400"/>
      <c r="C501" s="429"/>
      <c r="D501" s="397"/>
      <c r="E501" s="397"/>
    </row>
    <row r="502" spans="1:5">
      <c r="A502" s="401"/>
      <c r="B502" s="400"/>
      <c r="C502" s="429"/>
      <c r="D502" s="397"/>
      <c r="E502" s="397"/>
    </row>
    <row r="503" spans="1:5">
      <c r="A503" s="401"/>
      <c r="B503" s="400"/>
      <c r="C503" s="429"/>
      <c r="D503" s="397"/>
      <c r="E503" s="397"/>
    </row>
    <row r="504" spans="1:5">
      <c r="A504" s="401"/>
      <c r="B504" s="400"/>
      <c r="C504" s="429"/>
      <c r="D504" s="397"/>
      <c r="E504" s="397"/>
    </row>
    <row r="505" spans="1:5">
      <c r="A505" s="401"/>
      <c r="B505" s="400"/>
      <c r="C505" s="429"/>
      <c r="D505" s="397"/>
      <c r="E505" s="397"/>
    </row>
    <row r="506" spans="1:5">
      <c r="A506" s="401"/>
      <c r="B506" s="400"/>
      <c r="C506" s="429"/>
      <c r="D506" s="397"/>
      <c r="E506" s="397"/>
    </row>
    <row r="507" spans="1:5">
      <c r="A507" s="401"/>
      <c r="B507" s="400"/>
      <c r="C507" s="429"/>
      <c r="D507" s="397"/>
      <c r="E507" s="397"/>
    </row>
    <row r="508" spans="1:5">
      <c r="A508" s="401"/>
      <c r="B508" s="400"/>
      <c r="C508" s="429"/>
      <c r="D508" s="397"/>
      <c r="E508" s="397"/>
    </row>
    <row r="509" spans="1:5">
      <c r="A509" s="401"/>
      <c r="B509" s="400"/>
      <c r="C509" s="429"/>
      <c r="D509" s="397"/>
      <c r="E509" s="397"/>
    </row>
    <row r="510" spans="1:5">
      <c r="A510" s="401"/>
      <c r="B510" s="400"/>
      <c r="C510" s="429"/>
      <c r="D510" s="397"/>
      <c r="E510" s="397"/>
    </row>
    <row r="511" spans="1:5">
      <c r="A511" s="401"/>
      <c r="B511" s="400"/>
      <c r="C511" s="429"/>
      <c r="D511" s="397"/>
      <c r="E511" s="397"/>
    </row>
    <row r="512" spans="1:5">
      <c r="A512" s="401"/>
      <c r="B512" s="400"/>
      <c r="C512" s="429"/>
      <c r="D512" s="397"/>
      <c r="E512" s="397"/>
    </row>
    <row r="513" spans="1:5">
      <c r="A513" s="401"/>
      <c r="B513" s="400"/>
      <c r="C513" s="429"/>
      <c r="D513" s="397"/>
      <c r="E513" s="397"/>
    </row>
    <row r="514" spans="1:5">
      <c r="A514" s="401"/>
      <c r="B514" s="400"/>
      <c r="C514" s="429"/>
      <c r="D514" s="397"/>
      <c r="E514" s="397"/>
    </row>
    <row r="515" spans="1:5">
      <c r="A515" s="401"/>
      <c r="B515" s="400"/>
      <c r="C515" s="429"/>
      <c r="D515" s="397"/>
      <c r="E515" s="397"/>
    </row>
    <row r="516" spans="1:5">
      <c r="A516" s="401"/>
      <c r="B516" s="400"/>
      <c r="C516" s="429"/>
      <c r="D516" s="397"/>
      <c r="E516" s="397"/>
    </row>
    <row r="517" spans="1:5">
      <c r="A517" s="401"/>
      <c r="B517" s="400"/>
      <c r="C517" s="429"/>
      <c r="D517" s="397"/>
      <c r="E517" s="397"/>
    </row>
    <row r="518" spans="1:5">
      <c r="A518" s="401"/>
      <c r="B518" s="400"/>
      <c r="C518" s="429"/>
      <c r="D518" s="397"/>
      <c r="E518" s="397"/>
    </row>
    <row r="519" spans="1:5">
      <c r="A519" s="401"/>
      <c r="B519" s="400"/>
      <c r="C519" s="429"/>
      <c r="D519" s="397"/>
      <c r="E519" s="397"/>
    </row>
    <row r="520" spans="1:5">
      <c r="A520" s="401"/>
      <c r="B520" s="400"/>
      <c r="C520" s="429"/>
      <c r="D520" s="397"/>
      <c r="E520" s="397"/>
    </row>
    <row r="521" spans="1:5">
      <c r="A521" s="401"/>
      <c r="B521" s="400"/>
      <c r="C521" s="429"/>
      <c r="D521" s="397"/>
      <c r="E521" s="397"/>
    </row>
    <row r="522" spans="1:5">
      <c r="A522" s="401"/>
      <c r="B522" s="400"/>
      <c r="C522" s="429"/>
      <c r="D522" s="397"/>
      <c r="E522" s="397"/>
    </row>
    <row r="523" spans="1:5">
      <c r="A523" s="401"/>
      <c r="B523" s="400"/>
      <c r="C523" s="429"/>
      <c r="D523" s="397"/>
      <c r="E523" s="397"/>
    </row>
    <row r="524" spans="1:5">
      <c r="A524" s="401"/>
      <c r="B524" s="400"/>
      <c r="C524" s="429"/>
      <c r="D524" s="397"/>
      <c r="E524" s="397"/>
    </row>
    <row r="525" spans="1:5">
      <c r="A525" s="401"/>
      <c r="B525" s="400"/>
      <c r="C525" s="429"/>
      <c r="D525" s="397"/>
      <c r="E525" s="397"/>
    </row>
    <row r="526" spans="1:5">
      <c r="A526" s="401"/>
      <c r="B526" s="400"/>
      <c r="C526" s="429"/>
      <c r="D526" s="397"/>
      <c r="E526" s="397"/>
    </row>
    <row r="527" spans="1:5">
      <c r="A527" s="401"/>
      <c r="B527" s="400"/>
      <c r="C527" s="429"/>
      <c r="D527" s="397"/>
      <c r="E527" s="397"/>
    </row>
    <row r="528" spans="1:5">
      <c r="A528" s="401"/>
      <c r="B528" s="400"/>
      <c r="C528" s="429"/>
      <c r="D528" s="397"/>
      <c r="E528" s="397"/>
    </row>
    <row r="529" spans="1:5">
      <c r="A529" s="401"/>
      <c r="B529" s="400"/>
      <c r="C529" s="429"/>
      <c r="D529" s="397"/>
      <c r="E529" s="397"/>
    </row>
    <row r="530" spans="1:5">
      <c r="A530" s="401"/>
      <c r="B530" s="400"/>
      <c r="C530" s="429"/>
      <c r="D530" s="397"/>
      <c r="E530" s="397"/>
    </row>
    <row r="531" spans="1:5">
      <c r="A531" s="401"/>
      <c r="B531" s="400"/>
      <c r="C531" s="429"/>
      <c r="D531" s="397"/>
      <c r="E531" s="397"/>
    </row>
    <row r="532" spans="1:5">
      <c r="A532" s="401"/>
      <c r="B532" s="400"/>
      <c r="C532" s="429"/>
      <c r="D532" s="397"/>
      <c r="E532" s="397"/>
    </row>
    <row r="533" spans="1:5">
      <c r="A533" s="401"/>
      <c r="B533" s="400"/>
      <c r="C533" s="429"/>
      <c r="D533" s="397"/>
      <c r="E533" s="397"/>
    </row>
    <row r="534" spans="1:5">
      <c r="A534" s="401"/>
      <c r="B534" s="400"/>
      <c r="C534" s="429"/>
      <c r="D534" s="397"/>
      <c r="E534" s="397"/>
    </row>
    <row r="535" spans="1:5">
      <c r="A535" s="401"/>
      <c r="B535" s="400"/>
      <c r="C535" s="429"/>
      <c r="D535" s="397"/>
      <c r="E535" s="397"/>
    </row>
    <row r="536" spans="1:5">
      <c r="A536" s="401"/>
      <c r="B536" s="400"/>
      <c r="C536" s="429"/>
      <c r="D536" s="397"/>
      <c r="E536" s="397"/>
    </row>
    <row r="537" spans="1:5">
      <c r="A537" s="401"/>
      <c r="B537" s="400"/>
      <c r="C537" s="429"/>
      <c r="D537" s="397"/>
      <c r="E537" s="397"/>
    </row>
    <row r="538" spans="1:5">
      <c r="A538" s="401"/>
      <c r="B538" s="400"/>
      <c r="C538" s="429"/>
      <c r="D538" s="397"/>
      <c r="E538" s="397"/>
    </row>
    <row r="539" spans="1:5">
      <c r="A539" s="401"/>
      <c r="B539" s="400"/>
      <c r="C539" s="429"/>
      <c r="D539" s="397"/>
      <c r="E539" s="397"/>
    </row>
    <row r="540" spans="1:5">
      <c r="A540" s="401"/>
      <c r="B540" s="400"/>
      <c r="C540" s="429"/>
      <c r="D540" s="397"/>
      <c r="E540" s="397"/>
    </row>
    <row r="541" spans="1:5">
      <c r="A541" s="401"/>
      <c r="B541" s="400"/>
      <c r="C541" s="429"/>
      <c r="D541" s="397"/>
      <c r="E541" s="397"/>
    </row>
    <row r="542" spans="1:5">
      <c r="A542" s="401"/>
      <c r="B542" s="400"/>
      <c r="C542" s="429"/>
      <c r="D542" s="397"/>
      <c r="E542" s="397"/>
    </row>
    <row r="543" spans="1:5">
      <c r="A543" s="401"/>
      <c r="B543" s="400"/>
      <c r="C543" s="429"/>
      <c r="D543" s="397"/>
      <c r="E543" s="397"/>
    </row>
    <row r="544" spans="1:5">
      <c r="A544" s="401"/>
      <c r="B544" s="400"/>
      <c r="C544" s="429"/>
      <c r="D544" s="397"/>
      <c r="E544" s="397"/>
    </row>
    <row r="545" spans="1:5">
      <c r="A545" s="401"/>
      <c r="B545" s="400"/>
      <c r="C545" s="429"/>
      <c r="D545" s="397"/>
      <c r="E545" s="397"/>
    </row>
    <row r="546" spans="1:5">
      <c r="A546" s="401"/>
      <c r="B546" s="400"/>
      <c r="C546" s="429"/>
      <c r="D546" s="397"/>
      <c r="E546" s="397"/>
    </row>
    <row r="547" spans="1:5">
      <c r="A547" s="401"/>
      <c r="B547" s="400"/>
      <c r="C547" s="429"/>
      <c r="D547" s="397"/>
      <c r="E547" s="397"/>
    </row>
    <row r="548" spans="1:5">
      <c r="A548" s="401"/>
      <c r="B548" s="400"/>
      <c r="C548" s="429"/>
      <c r="D548" s="397"/>
      <c r="E548" s="397"/>
    </row>
    <row r="549" spans="1:5">
      <c r="A549" s="401"/>
      <c r="B549" s="400"/>
      <c r="C549" s="429"/>
      <c r="D549" s="397"/>
      <c r="E549" s="397"/>
    </row>
    <row r="550" spans="1:5">
      <c r="A550" s="401"/>
      <c r="B550" s="400"/>
      <c r="C550" s="429"/>
      <c r="D550" s="397"/>
      <c r="E550" s="397"/>
    </row>
    <row r="551" spans="1:5">
      <c r="A551" s="401"/>
      <c r="B551" s="400"/>
      <c r="C551" s="429"/>
      <c r="D551" s="397"/>
      <c r="E551" s="397"/>
    </row>
    <row r="552" spans="1:5">
      <c r="A552" s="401"/>
      <c r="B552" s="400"/>
      <c r="C552" s="429"/>
      <c r="D552" s="397"/>
      <c r="E552" s="397"/>
    </row>
    <row r="553" spans="1:5">
      <c r="A553" s="401"/>
      <c r="B553" s="400"/>
      <c r="C553" s="429"/>
      <c r="D553" s="397"/>
      <c r="E553" s="397"/>
    </row>
    <row r="554" spans="1:5">
      <c r="A554" s="401"/>
      <c r="B554" s="400"/>
      <c r="C554" s="429"/>
      <c r="D554" s="397"/>
      <c r="E554" s="397"/>
    </row>
    <row r="555" spans="1:5">
      <c r="A555" s="401"/>
      <c r="B555" s="400"/>
      <c r="C555" s="429"/>
      <c r="D555" s="397"/>
      <c r="E555" s="397"/>
    </row>
    <row r="556" spans="1:5">
      <c r="A556" s="401"/>
      <c r="B556" s="400"/>
      <c r="C556" s="429"/>
      <c r="D556" s="397"/>
      <c r="E556" s="397"/>
    </row>
    <row r="557" spans="1:5">
      <c r="A557" s="401"/>
      <c r="B557" s="400"/>
      <c r="C557" s="429"/>
      <c r="D557" s="397"/>
      <c r="E557" s="397"/>
    </row>
    <row r="558" spans="1:5">
      <c r="A558" s="401"/>
      <c r="B558" s="400"/>
      <c r="C558" s="429"/>
      <c r="D558" s="397"/>
      <c r="E558" s="397"/>
    </row>
    <row r="559" spans="1:5">
      <c r="A559" s="401"/>
      <c r="B559" s="400"/>
      <c r="C559" s="429"/>
      <c r="D559" s="397"/>
      <c r="E559" s="397"/>
    </row>
    <row r="560" spans="1:5">
      <c r="A560" s="401"/>
      <c r="B560" s="400"/>
      <c r="C560" s="429"/>
      <c r="D560" s="397"/>
      <c r="E560" s="397"/>
    </row>
    <row r="561" spans="1:5">
      <c r="A561" s="401"/>
      <c r="B561" s="400"/>
      <c r="C561" s="429"/>
      <c r="D561" s="397"/>
      <c r="E561" s="397"/>
    </row>
    <row r="562" spans="1:5">
      <c r="A562" s="401"/>
      <c r="B562" s="400"/>
      <c r="C562" s="429"/>
      <c r="D562" s="397"/>
      <c r="E562" s="397"/>
    </row>
    <row r="563" spans="1:5">
      <c r="A563" s="401"/>
      <c r="B563" s="400"/>
      <c r="C563" s="429"/>
      <c r="D563" s="397"/>
      <c r="E563" s="397"/>
    </row>
    <row r="564" spans="1:5">
      <c r="A564" s="401"/>
      <c r="B564" s="400"/>
      <c r="C564" s="429"/>
      <c r="D564" s="397"/>
      <c r="E564" s="397"/>
    </row>
    <row r="565" spans="1:5">
      <c r="A565" s="401"/>
      <c r="B565" s="400"/>
      <c r="C565" s="429"/>
      <c r="D565" s="397"/>
      <c r="E565" s="397"/>
    </row>
    <row r="566" spans="1:5">
      <c r="A566" s="401"/>
      <c r="B566" s="400"/>
      <c r="C566" s="429"/>
      <c r="D566" s="397"/>
      <c r="E566" s="397"/>
    </row>
    <row r="567" spans="1:5">
      <c r="A567" s="401"/>
      <c r="B567" s="400"/>
      <c r="C567" s="429"/>
      <c r="D567" s="397"/>
      <c r="E567" s="397"/>
    </row>
    <row r="568" spans="1:5">
      <c r="A568" s="401"/>
      <c r="B568" s="400"/>
      <c r="C568" s="429"/>
      <c r="D568" s="397"/>
      <c r="E568" s="397"/>
    </row>
    <row r="569" spans="1:5">
      <c r="A569" s="401"/>
      <c r="B569" s="400"/>
      <c r="C569" s="429"/>
      <c r="D569" s="397"/>
      <c r="E569" s="397"/>
    </row>
    <row r="570" spans="1:5">
      <c r="A570" s="401"/>
      <c r="B570" s="400"/>
      <c r="C570" s="429"/>
      <c r="D570" s="397"/>
      <c r="E570" s="397"/>
    </row>
    <row r="571" spans="1:5">
      <c r="A571" s="401"/>
      <c r="B571" s="400"/>
      <c r="C571" s="429"/>
      <c r="D571" s="397"/>
      <c r="E571" s="397"/>
    </row>
    <row r="572" spans="1:5">
      <c r="A572" s="401"/>
      <c r="B572" s="400"/>
      <c r="C572" s="429"/>
      <c r="D572" s="397"/>
      <c r="E572" s="397"/>
    </row>
    <row r="573" spans="1:5">
      <c r="A573" s="401"/>
      <c r="B573" s="400"/>
      <c r="C573" s="429"/>
      <c r="D573" s="397"/>
      <c r="E573" s="397"/>
    </row>
    <row r="574" spans="1:5">
      <c r="A574" s="401"/>
      <c r="B574" s="400"/>
      <c r="C574" s="429"/>
      <c r="D574" s="397"/>
      <c r="E574" s="397"/>
    </row>
    <row r="575" spans="1:5">
      <c r="A575" s="401"/>
      <c r="B575" s="400"/>
      <c r="C575" s="429"/>
      <c r="D575" s="397"/>
      <c r="E575" s="397"/>
    </row>
    <row r="576" spans="1:5">
      <c r="A576" s="401"/>
      <c r="B576" s="400"/>
      <c r="C576" s="429"/>
      <c r="D576" s="397"/>
      <c r="E576" s="397"/>
    </row>
    <row r="577" spans="1:5">
      <c r="A577" s="401"/>
      <c r="B577" s="400"/>
      <c r="C577" s="429"/>
      <c r="D577" s="397"/>
      <c r="E577" s="397"/>
    </row>
    <row r="578" spans="1:5">
      <c r="A578" s="401"/>
      <c r="B578" s="400"/>
      <c r="C578" s="429"/>
      <c r="D578" s="397"/>
      <c r="E578" s="397"/>
    </row>
    <row r="579" spans="1:5">
      <c r="A579" s="401"/>
      <c r="B579" s="400"/>
      <c r="C579" s="429"/>
      <c r="D579" s="397"/>
      <c r="E579" s="397"/>
    </row>
    <row r="580" spans="1:5">
      <c r="A580" s="401"/>
      <c r="B580" s="400"/>
      <c r="C580" s="429"/>
      <c r="D580" s="397"/>
      <c r="E580" s="397"/>
    </row>
    <row r="581" spans="1:5">
      <c r="A581" s="401"/>
      <c r="B581" s="400"/>
      <c r="C581" s="429"/>
      <c r="D581" s="397"/>
      <c r="E581" s="397"/>
    </row>
    <row r="582" spans="1:5">
      <c r="A582" s="401"/>
      <c r="B582" s="400"/>
      <c r="C582" s="429"/>
      <c r="D582" s="397"/>
      <c r="E582" s="397"/>
    </row>
    <row r="583" spans="1:5">
      <c r="A583" s="401"/>
      <c r="B583" s="400"/>
      <c r="C583" s="429"/>
      <c r="D583" s="397"/>
      <c r="E583" s="397"/>
    </row>
    <row r="584" spans="1:5">
      <c r="A584" s="401"/>
      <c r="B584" s="400"/>
      <c r="C584" s="429"/>
      <c r="D584" s="397"/>
      <c r="E584" s="397"/>
    </row>
    <row r="585" spans="1:5">
      <c r="A585" s="401"/>
      <c r="B585" s="400"/>
      <c r="C585" s="429"/>
      <c r="D585" s="397"/>
      <c r="E585" s="397"/>
    </row>
    <row r="586" spans="1:5">
      <c r="A586" s="401"/>
      <c r="B586" s="400"/>
      <c r="C586" s="429"/>
      <c r="D586" s="397"/>
      <c r="E586" s="397"/>
    </row>
    <row r="587" spans="1:5">
      <c r="A587" s="401"/>
      <c r="B587" s="400"/>
      <c r="C587" s="429"/>
      <c r="D587" s="397"/>
      <c r="E587" s="397"/>
    </row>
    <row r="588" spans="1:5">
      <c r="A588" s="401"/>
      <c r="B588" s="400"/>
      <c r="C588" s="429"/>
      <c r="D588" s="397"/>
      <c r="E588" s="397"/>
    </row>
    <row r="589" spans="1:5">
      <c r="A589" s="401"/>
      <c r="B589" s="400"/>
      <c r="C589" s="429"/>
      <c r="D589" s="397"/>
      <c r="E589" s="397"/>
    </row>
    <row r="590" spans="1:5">
      <c r="A590" s="401"/>
      <c r="B590" s="400"/>
      <c r="C590" s="429"/>
      <c r="D590" s="397"/>
      <c r="E590" s="397"/>
    </row>
    <row r="591" spans="1:5">
      <c r="A591" s="401"/>
      <c r="B591" s="400"/>
      <c r="C591" s="429"/>
      <c r="D591" s="397"/>
      <c r="E591" s="397"/>
    </row>
    <row r="592" spans="1:5">
      <c r="A592" s="401"/>
      <c r="B592" s="400"/>
      <c r="C592" s="429"/>
      <c r="D592" s="397"/>
      <c r="E592" s="397"/>
    </row>
    <row r="593" spans="1:5">
      <c r="A593" s="401"/>
      <c r="B593" s="400"/>
      <c r="C593" s="429"/>
      <c r="D593" s="397"/>
      <c r="E593" s="397"/>
    </row>
    <row r="594" spans="1:5">
      <c r="A594" s="401"/>
      <c r="B594" s="400"/>
      <c r="C594" s="429"/>
      <c r="D594" s="397"/>
      <c r="E594" s="397"/>
    </row>
    <row r="595" spans="1:5">
      <c r="A595" s="401"/>
      <c r="B595" s="400"/>
      <c r="C595" s="429"/>
      <c r="D595" s="397"/>
      <c r="E595" s="397"/>
    </row>
    <row r="596" spans="1:5">
      <c r="A596" s="401"/>
      <c r="B596" s="400"/>
      <c r="C596" s="429"/>
      <c r="D596" s="397"/>
      <c r="E596" s="397"/>
    </row>
    <row r="597" spans="1:5">
      <c r="A597" s="401"/>
      <c r="B597" s="400"/>
      <c r="C597" s="429"/>
      <c r="D597" s="397"/>
      <c r="E597" s="397"/>
    </row>
    <row r="598" spans="1:5">
      <c r="A598" s="401"/>
      <c r="B598" s="400"/>
      <c r="C598" s="429"/>
      <c r="D598" s="397"/>
      <c r="E598" s="397"/>
    </row>
    <row r="599" spans="1:5">
      <c r="A599" s="401"/>
      <c r="B599" s="400"/>
      <c r="C599" s="429"/>
      <c r="D599" s="397"/>
      <c r="E599" s="397"/>
    </row>
    <row r="600" spans="1:5">
      <c r="A600" s="401"/>
      <c r="B600" s="400"/>
      <c r="C600" s="429"/>
      <c r="D600" s="397"/>
      <c r="E600" s="397"/>
    </row>
    <row r="601" spans="1:5">
      <c r="A601" s="401"/>
      <c r="B601" s="400"/>
      <c r="C601" s="429"/>
      <c r="D601" s="397"/>
      <c r="E601" s="397"/>
    </row>
    <row r="602" spans="1:5">
      <c r="A602" s="401"/>
      <c r="B602" s="400"/>
      <c r="C602" s="429"/>
      <c r="D602" s="397"/>
      <c r="E602" s="397"/>
    </row>
    <row r="603" spans="1:5">
      <c r="A603" s="401"/>
      <c r="B603" s="400"/>
      <c r="C603" s="429"/>
      <c r="D603" s="397"/>
      <c r="E603" s="397"/>
    </row>
    <row r="604" spans="1:5">
      <c r="A604" s="401"/>
      <c r="B604" s="400"/>
      <c r="C604" s="429"/>
      <c r="D604" s="397"/>
      <c r="E604" s="397"/>
    </row>
    <row r="605" spans="1:5">
      <c r="A605" s="401"/>
      <c r="B605" s="400"/>
      <c r="C605" s="429"/>
      <c r="D605" s="397"/>
      <c r="E605" s="397"/>
    </row>
    <row r="606" spans="1:5">
      <c r="A606" s="401"/>
      <c r="B606" s="400"/>
      <c r="C606" s="429"/>
      <c r="D606" s="397"/>
      <c r="E606" s="397"/>
    </row>
    <row r="607" spans="1:5">
      <c r="A607" s="401"/>
      <c r="B607" s="400"/>
      <c r="C607" s="429"/>
      <c r="D607" s="397"/>
      <c r="E607" s="397"/>
    </row>
    <row r="608" spans="1:5">
      <c r="A608" s="401"/>
      <c r="B608" s="400"/>
      <c r="C608" s="429"/>
      <c r="D608" s="397"/>
      <c r="E608" s="397"/>
    </row>
    <row r="609" spans="1:5">
      <c r="A609" s="401"/>
      <c r="B609" s="400"/>
      <c r="C609" s="429"/>
      <c r="D609" s="397"/>
      <c r="E609" s="397"/>
    </row>
    <row r="610" spans="1:5">
      <c r="A610" s="401"/>
      <c r="B610" s="400"/>
      <c r="C610" s="429"/>
      <c r="D610" s="397"/>
      <c r="E610" s="397"/>
    </row>
    <row r="611" spans="1:5">
      <c r="A611" s="401"/>
      <c r="B611" s="400"/>
      <c r="C611" s="429"/>
      <c r="D611" s="397"/>
      <c r="E611" s="397"/>
    </row>
    <row r="612" spans="1:5">
      <c r="A612" s="401"/>
      <c r="B612" s="400"/>
      <c r="C612" s="429"/>
      <c r="D612" s="397"/>
      <c r="E612" s="397"/>
    </row>
    <row r="613" spans="1:5">
      <c r="A613" s="401"/>
      <c r="B613" s="400"/>
      <c r="C613" s="429"/>
      <c r="D613" s="397"/>
      <c r="E613" s="397"/>
    </row>
    <row r="614" spans="1:5">
      <c r="A614" s="401"/>
      <c r="B614" s="400"/>
      <c r="C614" s="429"/>
      <c r="D614" s="397"/>
      <c r="E614" s="397"/>
    </row>
    <row r="615" spans="1:5">
      <c r="A615" s="401"/>
      <c r="B615" s="400"/>
      <c r="C615" s="429"/>
      <c r="D615" s="397"/>
      <c r="E615" s="397"/>
    </row>
    <row r="616" spans="1:5">
      <c r="A616" s="401"/>
      <c r="B616" s="400"/>
      <c r="C616" s="429"/>
      <c r="D616" s="397"/>
      <c r="E616" s="397"/>
    </row>
    <row r="617" spans="1:5">
      <c r="A617" s="401"/>
      <c r="B617" s="400"/>
      <c r="C617" s="429"/>
      <c r="D617" s="397"/>
      <c r="E617" s="397"/>
    </row>
    <row r="618" spans="1:5">
      <c r="A618" s="401"/>
      <c r="B618" s="400"/>
      <c r="C618" s="429"/>
      <c r="D618" s="397"/>
      <c r="E618" s="397"/>
    </row>
    <row r="619" spans="1:5">
      <c r="A619" s="401"/>
      <c r="B619" s="400"/>
      <c r="C619" s="429"/>
      <c r="D619" s="397"/>
      <c r="E619" s="397"/>
    </row>
    <row r="620" spans="1:5">
      <c r="A620" s="401"/>
      <c r="B620" s="400"/>
      <c r="C620" s="429"/>
      <c r="D620" s="397"/>
      <c r="E620" s="397"/>
    </row>
    <row r="621" spans="1:5">
      <c r="A621" s="401"/>
      <c r="B621" s="400"/>
      <c r="C621" s="429"/>
      <c r="D621" s="397"/>
      <c r="E621" s="397"/>
    </row>
    <row r="622" spans="1:5">
      <c r="A622" s="401"/>
      <c r="B622" s="400"/>
      <c r="C622" s="429"/>
      <c r="D622" s="397"/>
      <c r="E622" s="397"/>
    </row>
    <row r="623" spans="1:5">
      <c r="A623" s="401"/>
      <c r="B623" s="400"/>
      <c r="C623" s="429"/>
      <c r="D623" s="397"/>
      <c r="E623" s="397"/>
    </row>
    <row r="624" spans="1:5">
      <c r="A624" s="401"/>
      <c r="B624" s="400"/>
      <c r="C624" s="429"/>
      <c r="D624" s="397"/>
      <c r="E624" s="397"/>
    </row>
    <row r="625" spans="1:5">
      <c r="A625" s="401"/>
      <c r="B625" s="400"/>
      <c r="C625" s="429"/>
      <c r="D625" s="397"/>
      <c r="E625" s="397"/>
    </row>
    <row r="626" spans="1:5">
      <c r="A626" s="401"/>
      <c r="B626" s="400"/>
      <c r="C626" s="429"/>
      <c r="D626" s="397"/>
      <c r="E626" s="397"/>
    </row>
    <row r="627" spans="1:5">
      <c r="A627" s="401"/>
      <c r="B627" s="400"/>
      <c r="C627" s="429"/>
      <c r="D627" s="397"/>
      <c r="E627" s="397"/>
    </row>
    <row r="628" spans="1:5">
      <c r="A628" s="401"/>
      <c r="B628" s="400"/>
      <c r="C628" s="429"/>
      <c r="D628" s="397"/>
      <c r="E628" s="397"/>
    </row>
    <row r="629" spans="1:5">
      <c r="A629" s="401"/>
      <c r="B629" s="400"/>
      <c r="C629" s="429"/>
      <c r="D629" s="397"/>
      <c r="E629" s="397"/>
    </row>
    <row r="630" spans="1:5">
      <c r="A630" s="401"/>
      <c r="B630" s="400"/>
      <c r="C630" s="429"/>
      <c r="D630" s="397"/>
      <c r="E630" s="397"/>
    </row>
    <row r="631" spans="1:5">
      <c r="A631" s="401"/>
      <c r="B631" s="400"/>
      <c r="C631" s="429"/>
      <c r="D631" s="397"/>
      <c r="E631" s="397"/>
    </row>
    <row r="632" spans="1:5">
      <c r="A632" s="401"/>
      <c r="B632" s="400"/>
      <c r="C632" s="429"/>
      <c r="D632" s="397"/>
      <c r="E632" s="397"/>
    </row>
    <row r="633" spans="1:5">
      <c r="A633" s="401"/>
      <c r="B633" s="400"/>
      <c r="C633" s="429"/>
      <c r="D633" s="397"/>
      <c r="E633" s="397"/>
    </row>
    <row r="634" spans="1:5">
      <c r="A634" s="401"/>
      <c r="B634" s="400"/>
      <c r="C634" s="429"/>
      <c r="D634" s="397"/>
      <c r="E634" s="397"/>
    </row>
    <row r="635" spans="1:5">
      <c r="A635" s="401"/>
      <c r="B635" s="400"/>
      <c r="C635" s="429"/>
      <c r="D635" s="397"/>
      <c r="E635" s="397"/>
    </row>
    <row r="636" spans="1:5">
      <c r="A636" s="401"/>
      <c r="B636" s="400"/>
      <c r="C636" s="429"/>
      <c r="D636" s="397"/>
      <c r="E636" s="397"/>
    </row>
    <row r="637" spans="1:5">
      <c r="A637" s="401"/>
      <c r="B637" s="400"/>
      <c r="C637" s="429"/>
      <c r="D637" s="397"/>
      <c r="E637" s="397"/>
    </row>
    <row r="638" spans="1:5">
      <c r="A638" s="401"/>
      <c r="B638" s="400"/>
      <c r="C638" s="429"/>
      <c r="D638" s="397"/>
      <c r="E638" s="397"/>
    </row>
    <row r="639" spans="1:5">
      <c r="A639" s="401"/>
      <c r="B639" s="400"/>
      <c r="C639" s="429"/>
      <c r="D639" s="397"/>
      <c r="E639" s="397"/>
    </row>
    <row r="640" spans="1:5">
      <c r="A640" s="401"/>
      <c r="B640" s="400"/>
      <c r="C640" s="429"/>
      <c r="D640" s="397"/>
      <c r="E640" s="397"/>
    </row>
    <row r="641" spans="1:5">
      <c r="A641" s="401"/>
      <c r="B641" s="400"/>
      <c r="C641" s="429"/>
      <c r="D641" s="397"/>
      <c r="E641" s="397"/>
    </row>
    <row r="642" spans="1:5">
      <c r="A642" s="401"/>
      <c r="B642" s="400"/>
      <c r="C642" s="429"/>
      <c r="D642" s="397"/>
      <c r="E642" s="397"/>
    </row>
    <row r="643" spans="1:5">
      <c r="A643" s="401"/>
      <c r="B643" s="400"/>
      <c r="C643" s="429"/>
      <c r="D643" s="397"/>
      <c r="E643" s="397"/>
    </row>
    <row r="644" spans="1:5">
      <c r="A644" s="401"/>
      <c r="B644" s="400"/>
      <c r="C644" s="429"/>
      <c r="D644" s="397"/>
      <c r="E644" s="397"/>
    </row>
    <row r="645" spans="1:5">
      <c r="A645" s="401"/>
      <c r="B645" s="400"/>
      <c r="C645" s="429"/>
      <c r="D645" s="397"/>
      <c r="E645" s="397"/>
    </row>
    <row r="646" spans="1:5">
      <c r="A646" s="401"/>
      <c r="B646" s="400"/>
      <c r="C646" s="429"/>
      <c r="D646" s="397"/>
      <c r="E646" s="397"/>
    </row>
    <row r="647" spans="1:5">
      <c r="A647" s="401"/>
      <c r="B647" s="400"/>
      <c r="C647" s="429"/>
      <c r="D647" s="397"/>
      <c r="E647" s="397"/>
    </row>
    <row r="648" spans="1:5">
      <c r="A648" s="401"/>
      <c r="B648" s="400"/>
      <c r="C648" s="429"/>
      <c r="D648" s="397"/>
      <c r="E648" s="397"/>
    </row>
    <row r="649" spans="1:5">
      <c r="A649" s="401"/>
      <c r="B649" s="400"/>
      <c r="C649" s="429"/>
      <c r="D649" s="397"/>
      <c r="E649" s="397"/>
    </row>
    <row r="650" spans="1:5">
      <c r="A650" s="401"/>
      <c r="B650" s="400"/>
      <c r="C650" s="429"/>
      <c r="D650" s="397"/>
      <c r="E650" s="397"/>
    </row>
    <row r="651" spans="1:5">
      <c r="A651" s="401"/>
      <c r="B651" s="400"/>
      <c r="C651" s="429"/>
      <c r="D651" s="397"/>
      <c r="E651" s="397"/>
    </row>
    <row r="652" spans="1:5">
      <c r="A652" s="401"/>
      <c r="B652" s="400"/>
      <c r="C652" s="429"/>
      <c r="D652" s="397"/>
      <c r="E652" s="397"/>
    </row>
    <row r="653" spans="1:5">
      <c r="A653" s="401"/>
      <c r="B653" s="400"/>
      <c r="C653" s="429"/>
      <c r="D653" s="397"/>
      <c r="E653" s="397"/>
    </row>
    <row r="654" spans="1:5">
      <c r="A654" s="401"/>
      <c r="B654" s="400"/>
      <c r="C654" s="429"/>
      <c r="D654" s="397"/>
      <c r="E654" s="397"/>
    </row>
    <row r="655" spans="1:5">
      <c r="A655" s="401"/>
      <c r="B655" s="400"/>
      <c r="C655" s="429"/>
      <c r="D655" s="397"/>
      <c r="E655" s="397"/>
    </row>
    <row r="656" spans="1:5">
      <c r="A656" s="401"/>
      <c r="B656" s="400"/>
      <c r="C656" s="429"/>
      <c r="D656" s="397"/>
      <c r="E656" s="397"/>
    </row>
    <row r="657" spans="1:5">
      <c r="A657" s="401"/>
      <c r="B657" s="400"/>
      <c r="C657" s="429"/>
      <c r="D657" s="397"/>
      <c r="E657" s="397"/>
    </row>
    <row r="658" spans="1:5">
      <c r="A658" s="401"/>
      <c r="B658" s="400"/>
      <c r="C658" s="429"/>
      <c r="D658" s="397"/>
      <c r="E658" s="397"/>
    </row>
    <row r="659" spans="1:5">
      <c r="A659" s="401"/>
      <c r="B659" s="400"/>
      <c r="C659" s="429"/>
      <c r="D659" s="397"/>
      <c r="E659" s="397"/>
    </row>
    <row r="660" spans="1:5">
      <c r="A660" s="401"/>
      <c r="B660" s="400"/>
      <c r="C660" s="429"/>
      <c r="D660" s="397"/>
      <c r="E660" s="397"/>
    </row>
    <row r="661" spans="1:5">
      <c r="A661" s="401"/>
      <c r="B661" s="400"/>
      <c r="C661" s="429"/>
      <c r="D661" s="397"/>
      <c r="E661" s="397"/>
    </row>
    <row r="662" spans="1:5">
      <c r="A662" s="401"/>
      <c r="B662" s="400"/>
      <c r="C662" s="429"/>
      <c r="D662" s="397"/>
      <c r="E662" s="397"/>
    </row>
    <row r="663" spans="1:5">
      <c r="A663" s="401"/>
      <c r="B663" s="400"/>
      <c r="C663" s="429"/>
      <c r="D663" s="397"/>
      <c r="E663" s="397"/>
    </row>
    <row r="664" spans="1:5">
      <c r="A664" s="401"/>
      <c r="B664" s="400"/>
      <c r="C664" s="429"/>
      <c r="D664" s="397"/>
      <c r="E664" s="397"/>
    </row>
    <row r="665" spans="1:5">
      <c r="A665" s="401"/>
      <c r="B665" s="400"/>
      <c r="C665" s="429"/>
      <c r="D665" s="397"/>
      <c r="E665" s="397"/>
    </row>
    <row r="666" spans="1:5">
      <c r="A666" s="401"/>
      <c r="B666" s="400"/>
      <c r="C666" s="429"/>
      <c r="D666" s="397"/>
      <c r="E666" s="397"/>
    </row>
    <row r="667" spans="1:5">
      <c r="A667" s="401"/>
      <c r="B667" s="400"/>
      <c r="C667" s="429"/>
      <c r="D667" s="397"/>
      <c r="E667" s="397"/>
    </row>
    <row r="668" spans="1:5">
      <c r="A668" s="401"/>
      <c r="B668" s="400"/>
      <c r="C668" s="429"/>
      <c r="D668" s="397"/>
      <c r="E668" s="397"/>
    </row>
    <row r="669" spans="1:5">
      <c r="A669" s="401"/>
      <c r="B669" s="400"/>
      <c r="C669" s="429"/>
      <c r="D669" s="397"/>
      <c r="E669" s="397"/>
    </row>
    <row r="670" spans="1:5">
      <c r="A670" s="401"/>
      <c r="B670" s="400"/>
      <c r="C670" s="429"/>
      <c r="D670" s="397"/>
      <c r="E670" s="397"/>
    </row>
    <row r="671" spans="1:5">
      <c r="A671" s="401"/>
      <c r="B671" s="400"/>
      <c r="C671" s="429"/>
      <c r="D671" s="397"/>
      <c r="E671" s="397"/>
    </row>
    <row r="672" spans="1:5">
      <c r="A672" s="401"/>
      <c r="B672" s="400"/>
      <c r="C672" s="429"/>
      <c r="D672" s="397"/>
      <c r="E672" s="397"/>
    </row>
    <row r="673" spans="1:5">
      <c r="A673" s="401"/>
      <c r="B673" s="400"/>
      <c r="C673" s="429"/>
      <c r="D673" s="397"/>
      <c r="E673" s="397"/>
    </row>
    <row r="674" spans="1:5">
      <c r="A674" s="401"/>
      <c r="B674" s="400"/>
      <c r="C674" s="429"/>
      <c r="D674" s="397"/>
      <c r="E674" s="397"/>
    </row>
    <row r="675" spans="1:5">
      <c r="A675" s="401"/>
      <c r="B675" s="400"/>
      <c r="C675" s="429"/>
      <c r="D675" s="397"/>
      <c r="E675" s="397"/>
    </row>
    <row r="676" spans="1:5">
      <c r="A676" s="401"/>
      <c r="B676" s="400"/>
      <c r="C676" s="429"/>
      <c r="D676" s="397"/>
      <c r="E676" s="397"/>
    </row>
    <row r="677" spans="1:5">
      <c r="A677" s="401"/>
      <c r="B677" s="400"/>
      <c r="C677" s="429"/>
      <c r="D677" s="397"/>
      <c r="E677" s="397"/>
    </row>
    <row r="678" spans="1:5">
      <c r="A678" s="401"/>
      <c r="B678" s="400"/>
      <c r="C678" s="429"/>
      <c r="D678" s="397"/>
      <c r="E678" s="397"/>
    </row>
    <row r="679" spans="1:5">
      <c r="A679" s="401"/>
      <c r="B679" s="400"/>
      <c r="C679" s="429"/>
      <c r="D679" s="397"/>
      <c r="E679" s="397"/>
    </row>
    <row r="680" spans="1:5">
      <c r="A680" s="401"/>
      <c r="B680" s="400"/>
      <c r="C680" s="429"/>
      <c r="D680" s="397"/>
      <c r="E680" s="397"/>
    </row>
    <row r="681" spans="1:5">
      <c r="A681" s="401"/>
      <c r="B681" s="400"/>
      <c r="C681" s="429"/>
      <c r="D681" s="397"/>
      <c r="E681" s="397"/>
    </row>
    <row r="682" spans="1:5">
      <c r="A682" s="401"/>
      <c r="B682" s="400"/>
      <c r="C682" s="429"/>
      <c r="D682" s="397"/>
      <c r="E682" s="397"/>
    </row>
    <row r="683" spans="1:5">
      <c r="A683" s="401"/>
      <c r="B683" s="400"/>
      <c r="C683" s="429"/>
      <c r="D683" s="397"/>
      <c r="E683" s="397"/>
    </row>
    <row r="684" spans="1:5">
      <c r="A684" s="401"/>
      <c r="B684" s="400"/>
      <c r="C684" s="429"/>
      <c r="D684" s="397"/>
      <c r="E684" s="397"/>
    </row>
    <row r="685" spans="1:5">
      <c r="A685" s="401"/>
      <c r="B685" s="400"/>
      <c r="C685" s="429"/>
      <c r="D685" s="397"/>
      <c r="E685" s="397"/>
    </row>
    <row r="686" spans="1:5">
      <c r="A686" s="401"/>
      <c r="B686" s="400"/>
      <c r="C686" s="429"/>
      <c r="D686" s="397"/>
      <c r="E686" s="397"/>
    </row>
    <row r="687" spans="1:5">
      <c r="A687" s="401"/>
      <c r="B687" s="400"/>
      <c r="C687" s="429"/>
      <c r="D687" s="397"/>
      <c r="E687" s="397"/>
    </row>
    <row r="688" spans="1:5">
      <c r="A688" s="401"/>
      <c r="B688" s="400"/>
      <c r="C688" s="429"/>
      <c r="D688" s="397"/>
      <c r="E688" s="397"/>
    </row>
    <row r="689" spans="1:5">
      <c r="A689" s="401"/>
      <c r="B689" s="400"/>
      <c r="C689" s="429"/>
      <c r="D689" s="397"/>
      <c r="E689" s="397"/>
    </row>
    <row r="690" spans="1:5">
      <c r="A690" s="401"/>
      <c r="B690" s="400"/>
      <c r="C690" s="429"/>
      <c r="D690" s="397"/>
      <c r="E690" s="397"/>
    </row>
    <row r="691" spans="1:5">
      <c r="A691" s="401"/>
      <c r="B691" s="400"/>
      <c r="C691" s="429"/>
      <c r="D691" s="397"/>
      <c r="E691" s="397"/>
    </row>
    <row r="692" spans="1:5">
      <c r="A692" s="401"/>
      <c r="B692" s="400"/>
      <c r="C692" s="429"/>
      <c r="D692" s="397"/>
      <c r="E692" s="397"/>
    </row>
    <row r="693" spans="1:5">
      <c r="A693" s="401"/>
      <c r="B693" s="400"/>
      <c r="C693" s="429"/>
      <c r="D693" s="397"/>
      <c r="E693" s="397"/>
    </row>
    <row r="694" spans="1:5">
      <c r="A694" s="401"/>
      <c r="B694" s="400"/>
      <c r="C694" s="429"/>
      <c r="D694" s="397"/>
      <c r="E694" s="397"/>
    </row>
    <row r="695" spans="1:5">
      <c r="A695" s="401"/>
      <c r="B695" s="400"/>
      <c r="C695" s="429"/>
      <c r="D695" s="397"/>
      <c r="E695" s="397"/>
    </row>
    <row r="696" spans="1:5">
      <c r="A696" s="401"/>
      <c r="B696" s="400"/>
      <c r="C696" s="429"/>
      <c r="D696" s="397"/>
      <c r="E696" s="397"/>
    </row>
    <row r="697" spans="1:5">
      <c r="A697" s="401"/>
      <c r="B697" s="400"/>
      <c r="C697" s="429"/>
      <c r="D697" s="397"/>
      <c r="E697" s="397"/>
    </row>
    <row r="698" spans="1:5">
      <c r="A698" s="401"/>
      <c r="B698" s="400"/>
      <c r="C698" s="429"/>
      <c r="D698" s="397"/>
      <c r="E698" s="397"/>
    </row>
    <row r="699" spans="1:5">
      <c r="A699" s="401"/>
      <c r="B699" s="400"/>
      <c r="C699" s="429"/>
      <c r="D699" s="397"/>
      <c r="E699" s="397"/>
    </row>
    <row r="700" spans="1:5">
      <c r="A700" s="401"/>
      <c r="B700" s="400"/>
      <c r="C700" s="429"/>
      <c r="D700" s="397"/>
      <c r="E700" s="397"/>
    </row>
    <row r="701" spans="1:5">
      <c r="A701" s="401"/>
      <c r="B701" s="400"/>
      <c r="C701" s="429"/>
      <c r="D701" s="397"/>
      <c r="E701" s="397"/>
    </row>
    <row r="702" spans="1:5">
      <c r="A702" s="401"/>
      <c r="B702" s="400"/>
      <c r="C702" s="429"/>
      <c r="D702" s="397"/>
      <c r="E702" s="397"/>
    </row>
    <row r="703" spans="1:5">
      <c r="A703" s="401"/>
      <c r="B703" s="400"/>
      <c r="C703" s="429"/>
      <c r="D703" s="397"/>
      <c r="E703" s="397"/>
    </row>
    <row r="704" spans="1:5">
      <c r="A704" s="401"/>
      <c r="B704" s="400"/>
      <c r="C704" s="429"/>
      <c r="D704" s="397"/>
      <c r="E704" s="397"/>
    </row>
    <row r="705" spans="1:5">
      <c r="A705" s="401"/>
      <c r="B705" s="400"/>
      <c r="C705" s="429"/>
      <c r="D705" s="397"/>
      <c r="E705" s="397"/>
    </row>
    <row r="706" spans="1:5">
      <c r="A706" s="401"/>
      <c r="B706" s="400"/>
      <c r="C706" s="429"/>
      <c r="D706" s="397"/>
      <c r="E706" s="397"/>
    </row>
    <row r="707" spans="1:5">
      <c r="A707" s="401"/>
      <c r="B707" s="400"/>
      <c r="C707" s="429"/>
      <c r="D707" s="397"/>
      <c r="E707" s="397"/>
    </row>
    <row r="708" spans="1:5">
      <c r="A708" s="401"/>
      <c r="B708" s="400"/>
      <c r="C708" s="429"/>
      <c r="D708" s="397"/>
      <c r="E708" s="397"/>
    </row>
    <row r="709" spans="1:5">
      <c r="A709" s="401"/>
      <c r="B709" s="400"/>
      <c r="C709" s="429"/>
      <c r="D709" s="397"/>
      <c r="E709" s="397"/>
    </row>
    <row r="710" spans="1:5">
      <c r="A710" s="401"/>
      <c r="B710" s="400"/>
      <c r="C710" s="429"/>
      <c r="D710" s="397"/>
      <c r="E710" s="397"/>
    </row>
    <row r="711" spans="1:5">
      <c r="A711" s="401"/>
      <c r="B711" s="400"/>
      <c r="C711" s="429"/>
      <c r="D711" s="397"/>
      <c r="E711" s="397"/>
    </row>
    <row r="712" spans="1:5">
      <c r="A712" s="401"/>
      <c r="B712" s="400"/>
      <c r="C712" s="429"/>
      <c r="D712" s="397"/>
      <c r="E712" s="397"/>
    </row>
    <row r="713" spans="1:5">
      <c r="A713" s="401"/>
      <c r="B713" s="400"/>
      <c r="C713" s="429"/>
      <c r="D713" s="397"/>
      <c r="E713" s="397"/>
    </row>
    <row r="714" spans="1:5">
      <c r="A714" s="401"/>
      <c r="B714" s="400"/>
      <c r="C714" s="429"/>
      <c r="D714" s="397"/>
      <c r="E714" s="397"/>
    </row>
    <row r="715" spans="1:5">
      <c r="A715" s="401"/>
      <c r="B715" s="400"/>
      <c r="C715" s="429"/>
      <c r="D715" s="397"/>
      <c r="E715" s="397"/>
    </row>
    <row r="716" spans="1:5">
      <c r="A716" s="401"/>
      <c r="B716" s="400"/>
      <c r="C716" s="429"/>
      <c r="D716" s="397"/>
      <c r="E716" s="397"/>
    </row>
    <row r="717" spans="1:5">
      <c r="A717" s="401"/>
      <c r="B717" s="400"/>
      <c r="C717" s="429"/>
      <c r="D717" s="397"/>
      <c r="E717" s="397"/>
    </row>
    <row r="718" spans="1:5">
      <c r="A718" s="401"/>
      <c r="B718" s="400"/>
      <c r="C718" s="429"/>
      <c r="D718" s="397"/>
      <c r="E718" s="397"/>
    </row>
    <row r="719" spans="1:5">
      <c r="A719" s="401"/>
      <c r="B719" s="400"/>
      <c r="C719" s="429"/>
      <c r="D719" s="397"/>
      <c r="E719" s="397"/>
    </row>
    <row r="720" spans="1:5">
      <c r="A720" s="401"/>
      <c r="B720" s="400"/>
      <c r="C720" s="429"/>
      <c r="D720" s="397"/>
      <c r="E720" s="397"/>
    </row>
    <row r="721" spans="1:5">
      <c r="A721" s="401"/>
      <c r="B721" s="400"/>
      <c r="C721" s="429"/>
      <c r="D721" s="397"/>
      <c r="E721" s="397"/>
    </row>
    <row r="722" spans="1:5">
      <c r="A722" s="401"/>
      <c r="B722" s="400"/>
      <c r="C722" s="429"/>
      <c r="D722" s="397"/>
      <c r="E722" s="397"/>
    </row>
    <row r="723" spans="1:5">
      <c r="A723" s="401"/>
      <c r="B723" s="400"/>
      <c r="C723" s="429"/>
      <c r="D723" s="397"/>
      <c r="E723" s="397"/>
    </row>
    <row r="724" spans="1:5">
      <c r="A724" s="401"/>
      <c r="B724" s="400"/>
      <c r="C724" s="429"/>
      <c r="D724" s="397"/>
      <c r="E724" s="397"/>
    </row>
    <row r="725" spans="1:5">
      <c r="A725" s="401"/>
      <c r="B725" s="400"/>
      <c r="C725" s="429"/>
      <c r="D725" s="397"/>
      <c r="E725" s="397"/>
    </row>
    <row r="726" spans="1:5">
      <c r="A726" s="401"/>
      <c r="B726" s="400"/>
      <c r="C726" s="429"/>
      <c r="D726" s="397"/>
      <c r="E726" s="397"/>
    </row>
    <row r="727" spans="1:5">
      <c r="A727" s="401"/>
      <c r="B727" s="400"/>
      <c r="C727" s="429"/>
      <c r="D727" s="397"/>
      <c r="E727" s="397"/>
    </row>
    <row r="728" spans="1:5">
      <c r="A728" s="401"/>
      <c r="B728" s="400"/>
      <c r="C728" s="429"/>
      <c r="D728" s="397"/>
      <c r="E728" s="397"/>
    </row>
    <row r="729" spans="1:5">
      <c r="A729" s="401"/>
      <c r="B729" s="400"/>
      <c r="C729" s="429"/>
      <c r="D729" s="397"/>
      <c r="E729" s="397"/>
    </row>
    <row r="730" spans="1:5">
      <c r="A730" s="401"/>
      <c r="B730" s="400"/>
      <c r="C730" s="429"/>
      <c r="D730" s="397"/>
      <c r="E730" s="397"/>
    </row>
    <row r="731" spans="1:5">
      <c r="A731" s="401"/>
      <c r="B731" s="400"/>
      <c r="C731" s="429"/>
      <c r="D731" s="397"/>
      <c r="E731" s="397"/>
    </row>
    <row r="732" spans="1:5">
      <c r="A732" s="401"/>
      <c r="B732" s="400"/>
      <c r="C732" s="429"/>
      <c r="D732" s="397"/>
      <c r="E732" s="397"/>
    </row>
    <row r="733" spans="1:5">
      <c r="A733" s="401"/>
      <c r="B733" s="400"/>
      <c r="C733" s="429"/>
      <c r="D733" s="397"/>
      <c r="E733" s="397"/>
    </row>
    <row r="734" spans="1:5">
      <c r="A734" s="401"/>
      <c r="B734" s="400"/>
      <c r="C734" s="429"/>
      <c r="D734" s="397"/>
      <c r="E734" s="397"/>
    </row>
    <row r="735" spans="1:5">
      <c r="A735" s="401"/>
      <c r="B735" s="400"/>
      <c r="C735" s="429"/>
      <c r="D735" s="397"/>
      <c r="E735" s="397"/>
    </row>
    <row r="736" spans="1:5">
      <c r="A736" s="401"/>
      <c r="B736" s="400"/>
      <c r="C736" s="429"/>
      <c r="D736" s="397"/>
      <c r="E736" s="397"/>
    </row>
    <row r="737" spans="1:5">
      <c r="A737" s="401"/>
      <c r="B737" s="400"/>
      <c r="C737" s="429"/>
      <c r="D737" s="397"/>
      <c r="E737" s="397"/>
    </row>
    <row r="738" spans="1:5">
      <c r="A738" s="401"/>
      <c r="B738" s="400"/>
      <c r="C738" s="429"/>
      <c r="D738" s="397"/>
      <c r="E738" s="397"/>
    </row>
    <row r="739" spans="1:5">
      <c r="A739" s="401"/>
      <c r="B739" s="400"/>
      <c r="C739" s="429"/>
      <c r="D739" s="397"/>
      <c r="E739" s="397"/>
    </row>
    <row r="740" spans="1:5">
      <c r="A740" s="401"/>
      <c r="B740" s="400"/>
      <c r="C740" s="429"/>
      <c r="D740" s="397"/>
      <c r="E740" s="397"/>
    </row>
    <row r="741" spans="1:5">
      <c r="A741" s="401"/>
      <c r="B741" s="400"/>
      <c r="C741" s="429"/>
      <c r="D741" s="397"/>
      <c r="E741" s="397"/>
    </row>
    <row r="742" spans="1:5">
      <c r="A742" s="401"/>
      <c r="B742" s="400"/>
      <c r="C742" s="429"/>
      <c r="D742" s="397"/>
      <c r="E742" s="397"/>
    </row>
    <row r="743" spans="1:5">
      <c r="A743" s="401"/>
      <c r="B743" s="400"/>
      <c r="C743" s="429"/>
      <c r="D743" s="397"/>
      <c r="E743" s="397"/>
    </row>
    <row r="744" spans="1:5">
      <c r="A744" s="401"/>
      <c r="B744" s="400"/>
      <c r="C744" s="429"/>
      <c r="D744" s="397"/>
      <c r="E744" s="397"/>
    </row>
    <row r="745" spans="1:5">
      <c r="A745" s="401"/>
      <c r="B745" s="400"/>
      <c r="C745" s="429"/>
      <c r="D745" s="397"/>
      <c r="E745" s="397"/>
    </row>
    <row r="746" spans="1:5">
      <c r="A746" s="401"/>
      <c r="B746" s="400"/>
      <c r="C746" s="429"/>
      <c r="D746" s="397"/>
      <c r="E746" s="397"/>
    </row>
    <row r="747" spans="1:5">
      <c r="A747" s="401"/>
      <c r="B747" s="400"/>
      <c r="C747" s="429"/>
      <c r="D747" s="397"/>
      <c r="E747" s="397"/>
    </row>
    <row r="748" spans="1:5">
      <c r="A748" s="401"/>
      <c r="B748" s="400"/>
      <c r="C748" s="429"/>
      <c r="D748" s="397"/>
      <c r="E748" s="397"/>
    </row>
    <row r="749" spans="1:5">
      <c r="A749" s="401"/>
      <c r="B749" s="400"/>
      <c r="C749" s="429"/>
      <c r="D749" s="397"/>
      <c r="E749" s="397"/>
    </row>
    <row r="750" spans="1:5">
      <c r="A750" s="401"/>
      <c r="B750" s="400"/>
      <c r="C750" s="429"/>
      <c r="D750" s="397"/>
      <c r="E750" s="397"/>
    </row>
    <row r="751" spans="1:5">
      <c r="A751" s="401"/>
      <c r="B751" s="400"/>
      <c r="C751" s="429"/>
      <c r="D751" s="397"/>
      <c r="E751" s="397"/>
    </row>
    <row r="752" spans="1:5">
      <c r="A752" s="401"/>
      <c r="B752" s="400"/>
      <c r="C752" s="429"/>
      <c r="D752" s="397"/>
      <c r="E752" s="397"/>
    </row>
    <row r="753" spans="1:5">
      <c r="A753" s="401"/>
      <c r="B753" s="400"/>
      <c r="C753" s="429"/>
      <c r="D753" s="397"/>
      <c r="E753" s="397"/>
    </row>
    <row r="754" spans="1:5">
      <c r="A754" s="401"/>
      <c r="B754" s="400"/>
      <c r="C754" s="429"/>
      <c r="D754" s="397"/>
      <c r="E754" s="397"/>
    </row>
    <row r="755" spans="1:5">
      <c r="A755" s="401"/>
      <c r="B755" s="400"/>
      <c r="C755" s="429"/>
      <c r="D755" s="397"/>
      <c r="E755" s="397"/>
    </row>
    <row r="756" spans="1:5">
      <c r="A756" s="401"/>
      <c r="B756" s="400"/>
      <c r="C756" s="429"/>
      <c r="D756" s="397"/>
      <c r="E756" s="397"/>
    </row>
    <row r="757" spans="1:5">
      <c r="A757" s="401"/>
      <c r="B757" s="400"/>
      <c r="C757" s="429"/>
      <c r="D757" s="397"/>
      <c r="E757" s="397"/>
    </row>
    <row r="758" spans="1:5">
      <c r="A758" s="401"/>
      <c r="B758" s="400"/>
      <c r="C758" s="429"/>
      <c r="D758" s="397"/>
      <c r="E758" s="397"/>
    </row>
    <row r="759" spans="1:5">
      <c r="A759" s="401"/>
      <c r="B759" s="400"/>
      <c r="C759" s="429"/>
      <c r="D759" s="397"/>
      <c r="E759" s="397"/>
    </row>
    <row r="760" spans="1:5">
      <c r="A760" s="401"/>
      <c r="B760" s="400"/>
      <c r="C760" s="429"/>
      <c r="D760" s="397"/>
      <c r="E760" s="397"/>
    </row>
    <row r="761" spans="1:5">
      <c r="A761" s="401"/>
      <c r="B761" s="400"/>
      <c r="C761" s="429"/>
      <c r="D761" s="397"/>
      <c r="E761" s="397"/>
    </row>
    <row r="762" spans="1:5">
      <c r="A762" s="401"/>
      <c r="B762" s="400"/>
      <c r="C762" s="429"/>
      <c r="D762" s="397"/>
      <c r="E762" s="397"/>
    </row>
    <row r="763" spans="1:5">
      <c r="A763" s="401"/>
      <c r="B763" s="400"/>
      <c r="C763" s="429"/>
      <c r="D763" s="397"/>
      <c r="E763" s="397"/>
    </row>
    <row r="764" spans="1:5">
      <c r="A764" s="401"/>
      <c r="B764" s="400"/>
      <c r="C764" s="429"/>
      <c r="D764" s="397"/>
      <c r="E764" s="397"/>
    </row>
    <row r="765" spans="1:5">
      <c r="A765" s="401"/>
      <c r="B765" s="400"/>
      <c r="C765" s="429"/>
      <c r="D765" s="397"/>
      <c r="E765" s="397"/>
    </row>
    <row r="766" spans="1:5">
      <c r="A766" s="401"/>
      <c r="B766" s="400"/>
      <c r="C766" s="429"/>
      <c r="D766" s="397"/>
      <c r="E766" s="397"/>
    </row>
    <row r="767" spans="1:5">
      <c r="A767" s="401"/>
      <c r="B767" s="400"/>
      <c r="C767" s="429"/>
      <c r="D767" s="397"/>
      <c r="E767" s="397"/>
    </row>
    <row r="768" spans="1:5">
      <c r="A768" s="401"/>
      <c r="B768" s="400"/>
      <c r="C768" s="429"/>
      <c r="D768" s="397"/>
      <c r="E768" s="397"/>
    </row>
    <row r="769" spans="1:5">
      <c r="A769" s="401"/>
      <c r="B769" s="400"/>
      <c r="C769" s="429"/>
      <c r="D769" s="397"/>
      <c r="E769" s="397"/>
    </row>
    <row r="770" spans="1:5">
      <c r="A770" s="401"/>
      <c r="B770" s="400"/>
      <c r="C770" s="429"/>
      <c r="D770" s="397"/>
      <c r="E770" s="397"/>
    </row>
    <row r="771" spans="1:5">
      <c r="A771" s="401"/>
      <c r="B771" s="400"/>
      <c r="C771" s="429"/>
      <c r="D771" s="397"/>
      <c r="E771" s="397"/>
    </row>
    <row r="772" spans="1:5">
      <c r="A772" s="401"/>
      <c r="B772" s="400"/>
      <c r="C772" s="429"/>
      <c r="D772" s="397"/>
      <c r="E772" s="397"/>
    </row>
    <row r="773" spans="1:5">
      <c r="A773" s="401"/>
      <c r="B773" s="400"/>
      <c r="C773" s="429"/>
      <c r="D773" s="397"/>
      <c r="E773" s="397"/>
    </row>
    <row r="774" spans="1:5">
      <c r="A774" s="401"/>
      <c r="B774" s="400"/>
      <c r="C774" s="429"/>
      <c r="D774" s="397"/>
      <c r="E774" s="397"/>
    </row>
    <row r="775" spans="1:5">
      <c r="A775" s="401"/>
      <c r="B775" s="400"/>
      <c r="C775" s="429"/>
      <c r="D775" s="397"/>
      <c r="E775" s="397"/>
    </row>
    <row r="776" spans="1:5">
      <c r="A776" s="401"/>
      <c r="B776" s="400"/>
      <c r="C776" s="429"/>
      <c r="D776" s="397"/>
      <c r="E776" s="397"/>
    </row>
    <row r="777" spans="1:5">
      <c r="A777" s="401"/>
      <c r="B777" s="400"/>
      <c r="C777" s="429"/>
      <c r="D777" s="397"/>
      <c r="E777" s="397"/>
    </row>
    <row r="778" spans="1:5">
      <c r="A778" s="401"/>
      <c r="B778" s="400"/>
      <c r="C778" s="429"/>
      <c r="D778" s="397"/>
      <c r="E778" s="397"/>
    </row>
    <row r="779" spans="1:5">
      <c r="A779" s="401"/>
      <c r="B779" s="400"/>
      <c r="C779" s="429"/>
      <c r="D779" s="397"/>
      <c r="E779" s="397"/>
    </row>
    <row r="780" spans="1:5">
      <c r="A780" s="401"/>
      <c r="B780" s="400"/>
      <c r="C780" s="429"/>
      <c r="D780" s="397"/>
      <c r="E780" s="397"/>
    </row>
    <row r="781" spans="1:5">
      <c r="A781" s="401"/>
      <c r="B781" s="400"/>
      <c r="C781" s="429"/>
      <c r="D781" s="397"/>
      <c r="E781" s="397"/>
    </row>
    <row r="782" spans="1:5">
      <c r="A782" s="401"/>
      <c r="B782" s="400"/>
      <c r="C782" s="429"/>
      <c r="D782" s="397"/>
      <c r="E782" s="397"/>
    </row>
    <row r="783" spans="1:5">
      <c r="A783" s="401"/>
      <c r="B783" s="400"/>
      <c r="C783" s="429"/>
      <c r="D783" s="397"/>
      <c r="E783" s="397"/>
    </row>
    <row r="784" spans="1:5">
      <c r="A784" s="401"/>
      <c r="B784" s="400"/>
      <c r="C784" s="429"/>
      <c r="D784" s="397"/>
      <c r="E784" s="397"/>
    </row>
    <row r="785" spans="1:5">
      <c r="A785" s="401"/>
      <c r="B785" s="400"/>
      <c r="C785" s="429"/>
      <c r="D785" s="397"/>
      <c r="E785" s="397"/>
    </row>
    <row r="786" spans="1:5">
      <c r="A786" s="401"/>
      <c r="B786" s="400"/>
      <c r="C786" s="429"/>
      <c r="D786" s="397"/>
      <c r="E786" s="397"/>
    </row>
    <row r="787" spans="1:5">
      <c r="A787" s="401"/>
      <c r="B787" s="400"/>
      <c r="C787" s="429"/>
      <c r="D787" s="397"/>
      <c r="E787" s="397"/>
    </row>
    <row r="788" spans="1:5">
      <c r="A788" s="401"/>
      <c r="B788" s="400"/>
      <c r="C788" s="429"/>
      <c r="D788" s="397"/>
      <c r="E788" s="397"/>
    </row>
    <row r="789" spans="1:5">
      <c r="A789" s="401"/>
      <c r="B789" s="400"/>
      <c r="C789" s="429"/>
      <c r="D789" s="397"/>
      <c r="E789" s="397"/>
    </row>
    <row r="790" spans="1:5">
      <c r="A790" s="401"/>
      <c r="B790" s="400"/>
      <c r="C790" s="429"/>
      <c r="D790" s="397"/>
      <c r="E790" s="397"/>
    </row>
    <row r="791" spans="1:5">
      <c r="A791" s="401"/>
      <c r="B791" s="400"/>
      <c r="C791" s="429"/>
      <c r="D791" s="397"/>
      <c r="E791" s="397"/>
    </row>
    <row r="792" spans="1:5">
      <c r="A792" s="401"/>
      <c r="B792" s="400"/>
      <c r="C792" s="429"/>
      <c r="D792" s="397"/>
      <c r="E792" s="397"/>
    </row>
    <row r="793" spans="1:5">
      <c r="A793" s="401"/>
      <c r="B793" s="400"/>
      <c r="C793" s="429"/>
      <c r="D793" s="397"/>
      <c r="E793" s="397"/>
    </row>
    <row r="794" spans="1:5">
      <c r="A794" s="401"/>
      <c r="B794" s="400"/>
      <c r="C794" s="429"/>
      <c r="D794" s="397"/>
      <c r="E794" s="397"/>
    </row>
    <row r="795" spans="1:5">
      <c r="A795" s="401"/>
      <c r="B795" s="400"/>
      <c r="C795" s="429"/>
      <c r="D795" s="397"/>
      <c r="E795" s="397"/>
    </row>
    <row r="796" spans="1:5">
      <c r="A796" s="401"/>
      <c r="B796" s="400"/>
      <c r="C796" s="429"/>
      <c r="D796" s="397"/>
      <c r="E796" s="397"/>
    </row>
    <row r="797" spans="1:5">
      <c r="A797" s="401"/>
      <c r="B797" s="400"/>
      <c r="C797" s="429"/>
      <c r="D797" s="397"/>
      <c r="E797" s="397"/>
    </row>
    <row r="798" spans="1:5">
      <c r="A798" s="401"/>
      <c r="B798" s="400"/>
      <c r="C798" s="429"/>
      <c r="D798" s="397"/>
      <c r="E798" s="397"/>
    </row>
    <row r="799" spans="1:5">
      <c r="A799" s="401"/>
      <c r="B799" s="400"/>
      <c r="C799" s="429"/>
      <c r="D799" s="397"/>
      <c r="E799" s="397"/>
    </row>
    <row r="800" spans="1:5">
      <c r="A800" s="401"/>
      <c r="B800" s="400"/>
      <c r="C800" s="429"/>
      <c r="D800" s="397"/>
      <c r="E800" s="397"/>
    </row>
    <row r="801" spans="1:5">
      <c r="A801" s="401"/>
      <c r="B801" s="400"/>
      <c r="C801" s="429"/>
      <c r="D801" s="397"/>
      <c r="E801" s="397"/>
    </row>
    <row r="802" spans="1:5">
      <c r="A802" s="401"/>
      <c r="B802" s="400"/>
      <c r="C802" s="429"/>
      <c r="D802" s="397"/>
      <c r="E802" s="397"/>
    </row>
    <row r="803" spans="1:5">
      <c r="A803" s="401"/>
      <c r="B803" s="400"/>
      <c r="C803" s="429"/>
      <c r="D803" s="397"/>
      <c r="E803" s="397"/>
    </row>
    <row r="804" spans="1:5">
      <c r="A804" s="401"/>
      <c r="B804" s="400"/>
      <c r="C804" s="429"/>
      <c r="D804" s="397"/>
      <c r="E804" s="397"/>
    </row>
    <row r="805" spans="1:5">
      <c r="A805" s="401"/>
      <c r="B805" s="400"/>
      <c r="C805" s="429"/>
      <c r="D805" s="397"/>
      <c r="E805" s="397"/>
    </row>
    <row r="806" spans="1:5">
      <c r="A806" s="401"/>
      <c r="B806" s="400"/>
      <c r="C806" s="429"/>
      <c r="D806" s="397"/>
      <c r="E806" s="397"/>
    </row>
    <row r="807" spans="1:5">
      <c r="A807" s="401"/>
      <c r="B807" s="400"/>
      <c r="C807" s="429"/>
      <c r="D807" s="397"/>
      <c r="E807" s="397"/>
    </row>
    <row r="808" spans="1:5">
      <c r="A808" s="401"/>
      <c r="B808" s="400"/>
      <c r="C808" s="429"/>
      <c r="D808" s="397"/>
      <c r="E808" s="397"/>
    </row>
    <row r="809" spans="1:5">
      <c r="A809" s="401"/>
      <c r="B809" s="400"/>
      <c r="C809" s="429"/>
      <c r="D809" s="397"/>
      <c r="E809" s="397"/>
    </row>
    <row r="810" spans="1:5">
      <c r="A810" s="401"/>
      <c r="B810" s="400"/>
      <c r="C810" s="429"/>
      <c r="D810" s="397"/>
      <c r="E810" s="397"/>
    </row>
    <row r="811" spans="1:5">
      <c r="A811" s="401"/>
      <c r="B811" s="400"/>
      <c r="C811" s="429"/>
      <c r="D811" s="397"/>
      <c r="E811" s="397"/>
    </row>
    <row r="812" spans="1:5">
      <c r="A812" s="401"/>
      <c r="B812" s="400"/>
      <c r="C812" s="429"/>
      <c r="D812" s="397"/>
      <c r="E812" s="397"/>
    </row>
    <row r="813" spans="1:5">
      <c r="A813" s="401"/>
      <c r="B813" s="400"/>
      <c r="C813" s="429"/>
      <c r="D813" s="397"/>
      <c r="E813" s="397"/>
    </row>
    <row r="814" spans="1:5">
      <c r="A814" s="401"/>
      <c r="B814" s="400"/>
      <c r="C814" s="429"/>
      <c r="D814" s="397"/>
      <c r="E814" s="397"/>
    </row>
    <row r="815" spans="1:5">
      <c r="A815" s="401"/>
      <c r="B815" s="400"/>
      <c r="C815" s="429"/>
      <c r="D815" s="397"/>
      <c r="E815" s="397"/>
    </row>
    <row r="816" spans="1:5">
      <c r="A816" s="401"/>
      <c r="B816" s="400"/>
      <c r="C816" s="429"/>
      <c r="D816" s="397"/>
      <c r="E816" s="397"/>
    </row>
    <row r="817" spans="1:5">
      <c r="A817" s="401"/>
      <c r="B817" s="400"/>
      <c r="C817" s="429"/>
      <c r="D817" s="397"/>
      <c r="E817" s="397"/>
    </row>
    <row r="818" spans="1:5">
      <c r="A818" s="401"/>
      <c r="B818" s="400"/>
      <c r="C818" s="429"/>
      <c r="D818" s="397"/>
      <c r="E818" s="397"/>
    </row>
    <row r="819" spans="1:5">
      <c r="A819" s="401"/>
      <c r="B819" s="400"/>
      <c r="C819" s="429"/>
      <c r="D819" s="397"/>
      <c r="E819" s="397"/>
    </row>
    <row r="820" spans="1:5">
      <c r="A820" s="401"/>
      <c r="B820" s="400"/>
      <c r="C820" s="429"/>
      <c r="D820" s="397"/>
      <c r="E820" s="397"/>
    </row>
    <row r="821" spans="1:5">
      <c r="A821" s="401"/>
      <c r="B821" s="400"/>
      <c r="C821" s="429"/>
      <c r="D821" s="397"/>
      <c r="E821" s="397"/>
    </row>
    <row r="822" spans="1:5">
      <c r="A822" s="401"/>
      <c r="B822" s="400"/>
      <c r="C822" s="429"/>
      <c r="D822" s="397"/>
      <c r="E822" s="397"/>
    </row>
    <row r="823" spans="1:5">
      <c r="A823" s="401"/>
      <c r="B823" s="400"/>
      <c r="C823" s="429"/>
      <c r="D823" s="397"/>
      <c r="E823" s="397"/>
    </row>
    <row r="824" spans="1:5">
      <c r="A824" s="401"/>
      <c r="B824" s="400"/>
      <c r="C824" s="429"/>
      <c r="D824" s="397"/>
      <c r="E824" s="397"/>
    </row>
    <row r="825" spans="1:5">
      <c r="A825" s="401"/>
      <c r="B825" s="400"/>
      <c r="C825" s="429"/>
      <c r="D825" s="397"/>
      <c r="E825" s="397"/>
    </row>
    <row r="826" spans="1:5">
      <c r="A826" s="401"/>
      <c r="B826" s="400"/>
      <c r="C826" s="429"/>
      <c r="D826" s="397"/>
      <c r="E826" s="397"/>
    </row>
    <row r="827" spans="1:5">
      <c r="A827" s="401"/>
      <c r="B827" s="400"/>
      <c r="C827" s="429"/>
      <c r="D827" s="397"/>
      <c r="E827" s="397"/>
    </row>
    <row r="828" spans="1:5">
      <c r="A828" s="401"/>
      <c r="B828" s="400"/>
      <c r="C828" s="429"/>
      <c r="D828" s="397"/>
      <c r="E828" s="397"/>
    </row>
    <row r="829" spans="1:5">
      <c r="A829" s="401"/>
      <c r="B829" s="400"/>
      <c r="C829" s="429"/>
      <c r="D829" s="397"/>
      <c r="E829" s="397"/>
    </row>
    <row r="830" spans="1:5">
      <c r="A830" s="401"/>
      <c r="B830" s="400"/>
      <c r="C830" s="429"/>
      <c r="D830" s="397"/>
      <c r="E830" s="397"/>
    </row>
    <row r="831" spans="1:5">
      <c r="A831" s="401"/>
      <c r="B831" s="400"/>
      <c r="C831" s="429"/>
      <c r="D831" s="397"/>
      <c r="E831" s="397"/>
    </row>
    <row r="832" spans="1:5">
      <c r="A832" s="401"/>
      <c r="B832" s="400"/>
      <c r="C832" s="429"/>
      <c r="D832" s="397"/>
      <c r="E832" s="397"/>
    </row>
    <row r="833" spans="1:5">
      <c r="A833" s="401"/>
      <c r="B833" s="400"/>
      <c r="C833" s="429"/>
      <c r="D833" s="397"/>
      <c r="E833" s="397"/>
    </row>
    <row r="834" spans="1:5">
      <c r="A834" s="401"/>
      <c r="B834" s="400"/>
      <c r="C834" s="429"/>
      <c r="D834" s="397"/>
      <c r="E834" s="397"/>
    </row>
    <row r="835" spans="1:5">
      <c r="A835" s="401"/>
      <c r="B835" s="400"/>
      <c r="C835" s="429"/>
      <c r="D835" s="397"/>
      <c r="E835" s="397"/>
    </row>
    <row r="836" spans="1:5">
      <c r="A836" s="401"/>
      <c r="B836" s="400"/>
      <c r="C836" s="429"/>
      <c r="D836" s="397"/>
      <c r="E836" s="397"/>
    </row>
    <row r="837" spans="1:5">
      <c r="A837" s="401"/>
      <c r="B837" s="400"/>
      <c r="C837" s="429"/>
      <c r="D837" s="397"/>
      <c r="E837" s="397"/>
    </row>
    <row r="838" spans="1:5">
      <c r="A838" s="401"/>
      <c r="B838" s="400"/>
      <c r="C838" s="429"/>
      <c r="D838" s="397"/>
      <c r="E838" s="397"/>
    </row>
    <row r="839" spans="1:5">
      <c r="A839" s="401"/>
      <c r="B839" s="400"/>
      <c r="C839" s="429"/>
      <c r="D839" s="397"/>
      <c r="E839" s="397"/>
    </row>
    <row r="840" spans="1:5">
      <c r="A840" s="401"/>
      <c r="B840" s="400"/>
      <c r="C840" s="429"/>
      <c r="D840" s="397"/>
      <c r="E840" s="397"/>
    </row>
    <row r="841" spans="1:5">
      <c r="A841" s="401"/>
      <c r="B841" s="400"/>
      <c r="C841" s="429"/>
      <c r="D841" s="397"/>
      <c r="E841" s="397"/>
    </row>
    <row r="842" spans="1:5">
      <c r="A842" s="401"/>
      <c r="B842" s="400"/>
      <c r="C842" s="429"/>
      <c r="D842" s="397"/>
      <c r="E842" s="397"/>
    </row>
    <row r="843" spans="1:5">
      <c r="A843" s="401"/>
      <c r="B843" s="400"/>
      <c r="C843" s="429"/>
      <c r="D843" s="397"/>
      <c r="E843" s="397"/>
    </row>
    <row r="844" spans="1:5">
      <c r="A844" s="401"/>
      <c r="B844" s="400"/>
      <c r="C844" s="429"/>
      <c r="D844" s="397"/>
      <c r="E844" s="397"/>
    </row>
    <row r="845" spans="1:5">
      <c r="A845" s="401"/>
      <c r="B845" s="400"/>
      <c r="C845" s="429"/>
      <c r="D845" s="397"/>
      <c r="E845" s="397"/>
    </row>
    <row r="846" spans="1:5">
      <c r="A846" s="401"/>
      <c r="B846" s="400"/>
      <c r="C846" s="429"/>
      <c r="D846" s="397"/>
      <c r="E846" s="397"/>
    </row>
    <row r="847" spans="1:5">
      <c r="A847" s="401"/>
      <c r="B847" s="400"/>
      <c r="C847" s="429"/>
      <c r="D847" s="397"/>
      <c r="E847" s="397"/>
    </row>
    <row r="848" spans="1:5">
      <c r="A848" s="401"/>
      <c r="B848" s="400"/>
      <c r="C848" s="429"/>
      <c r="D848" s="397"/>
      <c r="E848" s="397"/>
    </row>
    <row r="849" spans="1:5">
      <c r="A849" s="401"/>
      <c r="B849" s="400"/>
      <c r="C849" s="429"/>
      <c r="D849" s="397"/>
      <c r="E849" s="397"/>
    </row>
    <row r="850" spans="1:5">
      <c r="A850" s="401"/>
      <c r="B850" s="400"/>
      <c r="C850" s="429"/>
      <c r="D850" s="397"/>
      <c r="E850" s="397"/>
    </row>
    <row r="851" spans="1:5">
      <c r="A851" s="401"/>
      <c r="B851" s="400"/>
      <c r="C851" s="429"/>
      <c r="D851" s="397"/>
      <c r="E851" s="397"/>
    </row>
    <row r="852" spans="1:5">
      <c r="A852" s="401"/>
      <c r="B852" s="400"/>
      <c r="C852" s="429"/>
      <c r="D852" s="397"/>
      <c r="E852" s="397"/>
    </row>
    <row r="853" spans="1:5">
      <c r="A853" s="401"/>
      <c r="B853" s="400"/>
      <c r="C853" s="429"/>
      <c r="D853" s="397"/>
      <c r="E853" s="397"/>
    </row>
    <row r="854" spans="1:5">
      <c r="A854" s="401"/>
      <c r="B854" s="400"/>
      <c r="C854" s="429"/>
      <c r="D854" s="397"/>
      <c r="E854" s="397"/>
    </row>
    <row r="855" spans="1:5">
      <c r="A855" s="401"/>
      <c r="B855" s="400"/>
      <c r="C855" s="429"/>
      <c r="D855" s="397"/>
      <c r="E855" s="397"/>
    </row>
    <row r="856" spans="1:5">
      <c r="A856" s="401"/>
      <c r="B856" s="400"/>
      <c r="C856" s="429"/>
      <c r="D856" s="397"/>
      <c r="E856" s="397"/>
    </row>
    <row r="857" spans="1:5">
      <c r="A857" s="401"/>
      <c r="B857" s="400"/>
      <c r="C857" s="429"/>
      <c r="D857" s="397"/>
      <c r="E857" s="397"/>
    </row>
    <row r="858" spans="1:5">
      <c r="A858" s="401"/>
      <c r="B858" s="400"/>
      <c r="C858" s="429"/>
      <c r="D858" s="397"/>
      <c r="E858" s="397"/>
    </row>
    <row r="859" spans="1:5">
      <c r="A859" s="401"/>
      <c r="B859" s="400"/>
      <c r="C859" s="429"/>
      <c r="D859" s="397"/>
      <c r="E859" s="397"/>
    </row>
    <row r="860" spans="1:5">
      <c r="A860" s="401"/>
      <c r="B860" s="400"/>
      <c r="C860" s="429"/>
      <c r="D860" s="397"/>
      <c r="E860" s="397"/>
    </row>
    <row r="861" spans="1:5">
      <c r="A861" s="401"/>
      <c r="B861" s="400"/>
      <c r="C861" s="429"/>
      <c r="D861" s="397"/>
      <c r="E861" s="397"/>
    </row>
    <row r="862" spans="1:5">
      <c r="A862" s="401"/>
      <c r="B862" s="400"/>
      <c r="C862" s="429"/>
      <c r="D862" s="397"/>
      <c r="E862" s="397"/>
    </row>
    <row r="863" spans="1:5">
      <c r="A863" s="401"/>
      <c r="B863" s="400"/>
      <c r="C863" s="429"/>
      <c r="D863" s="397"/>
      <c r="E863" s="397"/>
    </row>
    <row r="864" spans="1:5">
      <c r="A864" s="401"/>
      <c r="B864" s="400"/>
      <c r="C864" s="429"/>
      <c r="D864" s="397"/>
      <c r="E864" s="397"/>
    </row>
    <row r="865" spans="1:5">
      <c r="A865" s="401"/>
      <c r="B865" s="400"/>
      <c r="C865" s="429"/>
      <c r="D865" s="397"/>
      <c r="E865" s="397"/>
    </row>
    <row r="866" spans="1:5">
      <c r="A866" s="401"/>
      <c r="B866" s="400"/>
      <c r="C866" s="429"/>
      <c r="D866" s="397"/>
      <c r="E866" s="397"/>
    </row>
    <row r="867" spans="1:5">
      <c r="A867" s="401"/>
      <c r="B867" s="400"/>
      <c r="C867" s="429"/>
      <c r="D867" s="397"/>
      <c r="E867" s="397"/>
    </row>
    <row r="868" spans="1:5">
      <c r="A868" s="401"/>
      <c r="B868" s="400"/>
      <c r="C868" s="429"/>
      <c r="D868" s="397"/>
      <c r="E868" s="397"/>
    </row>
    <row r="869" spans="1:5">
      <c r="A869" s="401"/>
      <c r="B869" s="400"/>
      <c r="C869" s="429"/>
      <c r="D869" s="397"/>
      <c r="E869" s="397"/>
    </row>
    <row r="870" spans="1:5">
      <c r="A870" s="401"/>
      <c r="B870" s="400"/>
      <c r="C870" s="429"/>
      <c r="D870" s="397"/>
      <c r="E870" s="397"/>
    </row>
    <row r="871" spans="1:5">
      <c r="A871" s="401"/>
      <c r="B871" s="400"/>
      <c r="C871" s="429"/>
      <c r="D871" s="397"/>
      <c r="E871" s="397"/>
    </row>
    <row r="872" spans="1:5">
      <c r="A872" s="401"/>
      <c r="B872" s="400"/>
      <c r="C872" s="429"/>
      <c r="D872" s="397"/>
      <c r="E872" s="397"/>
    </row>
    <row r="873" spans="1:5">
      <c r="A873" s="401"/>
      <c r="B873" s="400"/>
      <c r="C873" s="429"/>
      <c r="D873" s="397"/>
      <c r="E873" s="397"/>
    </row>
    <row r="874" spans="1:5">
      <c r="A874" s="401"/>
      <c r="B874" s="400"/>
      <c r="C874" s="429"/>
      <c r="D874" s="397"/>
      <c r="E874" s="397"/>
    </row>
    <row r="875" spans="1:5">
      <c r="A875" s="401"/>
      <c r="B875" s="400"/>
      <c r="C875" s="429"/>
      <c r="D875" s="397"/>
      <c r="E875" s="397"/>
    </row>
    <row r="876" spans="1:5">
      <c r="A876" s="401"/>
      <c r="B876" s="400"/>
      <c r="C876" s="429"/>
      <c r="D876" s="397"/>
      <c r="E876" s="397"/>
    </row>
    <row r="877" spans="1:5">
      <c r="A877" s="401"/>
      <c r="B877" s="400"/>
      <c r="C877" s="429"/>
      <c r="D877" s="397"/>
      <c r="E877" s="397"/>
    </row>
    <row r="878" spans="1:5">
      <c r="A878" s="401"/>
      <c r="B878" s="400"/>
      <c r="C878" s="429"/>
      <c r="D878" s="397"/>
      <c r="E878" s="397"/>
    </row>
    <row r="879" spans="1:5">
      <c r="A879" s="401"/>
      <c r="B879" s="400"/>
      <c r="C879" s="429"/>
      <c r="D879" s="397"/>
      <c r="E879" s="397"/>
    </row>
    <row r="880" spans="1:5">
      <c r="A880" s="401"/>
      <c r="B880" s="400"/>
      <c r="C880" s="429"/>
      <c r="D880" s="397"/>
      <c r="E880" s="397"/>
    </row>
    <row r="881" spans="1:5">
      <c r="A881" s="401"/>
      <c r="B881" s="400"/>
      <c r="C881" s="429"/>
      <c r="D881" s="397"/>
      <c r="E881" s="397"/>
    </row>
    <row r="882" spans="1:5">
      <c r="A882" s="401"/>
      <c r="B882" s="400"/>
      <c r="C882" s="429"/>
      <c r="D882" s="397"/>
      <c r="E882" s="397"/>
    </row>
    <row r="883" spans="1:5">
      <c r="A883" s="401"/>
      <c r="B883" s="400"/>
      <c r="C883" s="429"/>
      <c r="D883" s="397"/>
      <c r="E883" s="397"/>
    </row>
    <row r="884" spans="1:5">
      <c r="A884" s="401"/>
      <c r="B884" s="400"/>
      <c r="C884" s="429"/>
      <c r="D884" s="397"/>
      <c r="E884" s="397"/>
    </row>
    <row r="885" spans="1:5">
      <c r="A885" s="401"/>
      <c r="B885" s="400"/>
      <c r="C885" s="429"/>
      <c r="D885" s="397"/>
      <c r="E885" s="397"/>
    </row>
    <row r="886" spans="1:5">
      <c r="A886" s="401"/>
      <c r="B886" s="400"/>
      <c r="C886" s="429"/>
      <c r="D886" s="397"/>
      <c r="E886" s="397"/>
    </row>
    <row r="887" spans="1:5">
      <c r="A887" s="401"/>
      <c r="B887" s="400"/>
      <c r="C887" s="429"/>
      <c r="D887" s="397"/>
      <c r="E887" s="397"/>
    </row>
    <row r="888" spans="1:5">
      <c r="A888" s="401"/>
      <c r="B888" s="400"/>
      <c r="C888" s="429"/>
      <c r="D888" s="397"/>
      <c r="E888" s="397"/>
    </row>
    <row r="889" spans="1:5">
      <c r="A889" s="401"/>
      <c r="B889" s="400"/>
      <c r="C889" s="429"/>
      <c r="D889" s="397"/>
      <c r="E889" s="397"/>
    </row>
    <row r="890" spans="1:5">
      <c r="A890" s="401"/>
      <c r="B890" s="400"/>
      <c r="C890" s="429"/>
      <c r="D890" s="397"/>
      <c r="E890" s="397"/>
    </row>
    <row r="891" spans="1:5">
      <c r="A891" s="401"/>
      <c r="B891" s="400"/>
      <c r="C891" s="429"/>
      <c r="D891" s="397"/>
      <c r="E891" s="397"/>
    </row>
    <row r="892" spans="1:5">
      <c r="A892" s="401"/>
      <c r="B892" s="400"/>
      <c r="C892" s="429"/>
      <c r="D892" s="397"/>
      <c r="E892" s="397"/>
    </row>
    <row r="893" spans="1:5">
      <c r="A893" s="401"/>
      <c r="B893" s="400"/>
      <c r="C893" s="429"/>
      <c r="D893" s="397"/>
      <c r="E893" s="397"/>
    </row>
    <row r="894" spans="1:5">
      <c r="A894" s="401"/>
      <c r="B894" s="400"/>
      <c r="C894" s="429"/>
      <c r="D894" s="397"/>
      <c r="E894" s="397"/>
    </row>
    <row r="895" spans="1:5">
      <c r="A895" s="401"/>
      <c r="B895" s="400"/>
      <c r="C895" s="429"/>
      <c r="D895" s="397"/>
      <c r="E895" s="397"/>
    </row>
    <row r="896" spans="1:5">
      <c r="A896" s="401"/>
      <c r="B896" s="400"/>
      <c r="C896" s="429"/>
      <c r="D896" s="397"/>
      <c r="E896" s="397"/>
    </row>
    <row r="897" spans="1:5">
      <c r="A897" s="401"/>
      <c r="B897" s="400"/>
      <c r="C897" s="429"/>
      <c r="D897" s="397"/>
      <c r="E897" s="397"/>
    </row>
    <row r="898" spans="1:5">
      <c r="A898" s="401"/>
      <c r="B898" s="400"/>
      <c r="C898" s="429"/>
      <c r="D898" s="397"/>
      <c r="E898" s="397"/>
    </row>
    <row r="899" spans="1:5">
      <c r="A899" s="401"/>
      <c r="B899" s="400"/>
      <c r="C899" s="429"/>
      <c r="D899" s="397"/>
      <c r="E899" s="397"/>
    </row>
    <row r="900" spans="1:5">
      <c r="A900" s="401"/>
      <c r="B900" s="400"/>
      <c r="C900" s="429"/>
      <c r="D900" s="397"/>
      <c r="E900" s="397"/>
    </row>
    <row r="901" spans="1:5">
      <c r="A901" s="401"/>
      <c r="B901" s="400"/>
      <c r="C901" s="429"/>
      <c r="D901" s="397"/>
      <c r="E901" s="397"/>
    </row>
    <row r="902" spans="1:5">
      <c r="A902" s="401"/>
      <c r="B902" s="400"/>
      <c r="C902" s="429"/>
      <c r="D902" s="397"/>
      <c r="E902" s="397"/>
    </row>
    <row r="903" spans="1:5">
      <c r="A903" s="401"/>
      <c r="B903" s="400"/>
      <c r="C903" s="429"/>
      <c r="D903" s="397"/>
      <c r="E903" s="397"/>
    </row>
    <row r="904" spans="1:5">
      <c r="A904" s="401"/>
      <c r="B904" s="400"/>
      <c r="C904" s="429"/>
      <c r="D904" s="397"/>
      <c r="E904" s="397"/>
    </row>
    <row r="905" spans="1:5">
      <c r="A905" s="401"/>
      <c r="B905" s="400"/>
      <c r="C905" s="429"/>
      <c r="D905" s="397"/>
      <c r="E905" s="397"/>
    </row>
    <row r="906" spans="1:5">
      <c r="A906" s="401"/>
      <c r="B906" s="400"/>
      <c r="C906" s="429"/>
      <c r="D906" s="397"/>
      <c r="E906" s="397"/>
    </row>
    <row r="907" spans="1:5">
      <c r="A907" s="401"/>
      <c r="B907" s="400"/>
      <c r="C907" s="429"/>
      <c r="D907" s="397"/>
      <c r="E907" s="397"/>
    </row>
    <row r="908" spans="1:5">
      <c r="A908" s="401"/>
      <c r="B908" s="400"/>
      <c r="C908" s="429"/>
      <c r="D908" s="397"/>
      <c r="E908" s="397"/>
    </row>
    <row r="909" spans="1:5">
      <c r="A909" s="401"/>
      <c r="B909" s="400"/>
      <c r="C909" s="429"/>
      <c r="D909" s="397"/>
      <c r="E909" s="397"/>
    </row>
    <row r="910" spans="1:5">
      <c r="A910" s="401"/>
      <c r="B910" s="400"/>
      <c r="C910" s="429"/>
      <c r="D910" s="397"/>
      <c r="E910" s="397"/>
    </row>
    <row r="911" spans="1:5">
      <c r="A911" s="401"/>
      <c r="B911" s="400"/>
      <c r="C911" s="429"/>
      <c r="D911" s="397"/>
      <c r="E911" s="397"/>
    </row>
    <row r="912" spans="1:5">
      <c r="A912" s="401"/>
      <c r="B912" s="400"/>
      <c r="C912" s="429"/>
      <c r="D912" s="397"/>
      <c r="E912" s="397"/>
    </row>
    <row r="913" spans="1:5">
      <c r="A913" s="401"/>
      <c r="B913" s="400"/>
      <c r="C913" s="429"/>
      <c r="D913" s="397"/>
      <c r="E913" s="397"/>
    </row>
    <row r="914" spans="1:5">
      <c r="A914" s="401"/>
      <c r="B914" s="400"/>
      <c r="C914" s="429"/>
      <c r="D914" s="397"/>
      <c r="E914" s="397"/>
    </row>
    <row r="915" spans="1:5">
      <c r="A915" s="401"/>
      <c r="B915" s="400"/>
      <c r="C915" s="429"/>
      <c r="D915" s="397"/>
      <c r="E915" s="397"/>
    </row>
    <row r="916" spans="1:5">
      <c r="A916" s="401"/>
      <c r="B916" s="400"/>
      <c r="C916" s="429"/>
      <c r="D916" s="397"/>
      <c r="E916" s="397"/>
    </row>
    <row r="917" spans="1:5">
      <c r="A917" s="401"/>
      <c r="B917" s="400"/>
      <c r="C917" s="429"/>
      <c r="D917" s="397"/>
      <c r="E917" s="397"/>
    </row>
    <row r="918" spans="1:5">
      <c r="A918" s="401"/>
      <c r="B918" s="400"/>
      <c r="C918" s="429"/>
      <c r="D918" s="397"/>
      <c r="E918" s="397"/>
    </row>
    <row r="919" spans="1:5">
      <c r="A919" s="401"/>
      <c r="B919" s="400"/>
      <c r="C919" s="429"/>
      <c r="D919" s="397"/>
      <c r="E919" s="397"/>
    </row>
    <row r="920" spans="1:5">
      <c r="A920" s="401"/>
      <c r="B920" s="400"/>
      <c r="C920" s="429"/>
      <c r="D920" s="397"/>
      <c r="E920" s="397"/>
    </row>
    <row r="921" spans="1:5">
      <c r="A921" s="401"/>
      <c r="B921" s="400"/>
      <c r="C921" s="429"/>
      <c r="D921" s="397"/>
      <c r="E921" s="397"/>
    </row>
    <row r="922" spans="1:5">
      <c r="A922" s="401"/>
      <c r="B922" s="400"/>
      <c r="C922" s="429"/>
      <c r="D922" s="397"/>
      <c r="E922" s="397"/>
    </row>
    <row r="923" spans="1:5">
      <c r="A923" s="401"/>
      <c r="B923" s="400"/>
      <c r="C923" s="429"/>
      <c r="D923" s="397"/>
      <c r="E923" s="397"/>
    </row>
    <row r="924" spans="1:5">
      <c r="A924" s="401"/>
      <c r="B924" s="400"/>
      <c r="C924" s="429"/>
      <c r="D924" s="397"/>
      <c r="E924" s="397"/>
    </row>
    <row r="925" spans="1:5">
      <c r="A925" s="401"/>
      <c r="B925" s="400"/>
      <c r="C925" s="429"/>
      <c r="D925" s="397"/>
      <c r="E925" s="397"/>
    </row>
    <row r="926" spans="1:5">
      <c r="A926" s="401"/>
      <c r="B926" s="400"/>
      <c r="C926" s="429"/>
      <c r="D926" s="397"/>
      <c r="E926" s="397"/>
    </row>
    <row r="927" spans="1:5">
      <c r="A927" s="401"/>
      <c r="B927" s="400"/>
      <c r="C927" s="429"/>
      <c r="D927" s="397"/>
      <c r="E927" s="397"/>
    </row>
    <row r="928" spans="1:5">
      <c r="A928" s="401"/>
      <c r="B928" s="400"/>
      <c r="C928" s="429"/>
      <c r="D928" s="397"/>
      <c r="E928" s="397"/>
    </row>
    <row r="929" spans="1:5">
      <c r="A929" s="401"/>
      <c r="B929" s="400"/>
      <c r="C929" s="429"/>
      <c r="D929" s="397"/>
      <c r="E929" s="397"/>
    </row>
    <row r="930" spans="1:5">
      <c r="A930" s="401"/>
      <c r="B930" s="400"/>
      <c r="C930" s="429"/>
      <c r="D930" s="397"/>
      <c r="E930" s="397"/>
    </row>
    <row r="931" spans="1:5">
      <c r="A931" s="401"/>
      <c r="B931" s="400"/>
      <c r="C931" s="429"/>
      <c r="D931" s="397"/>
      <c r="E931" s="397"/>
    </row>
    <row r="932" spans="1:5">
      <c r="A932" s="401"/>
      <c r="B932" s="400"/>
      <c r="C932" s="429"/>
      <c r="D932" s="397"/>
      <c r="E932" s="397"/>
    </row>
    <row r="933" spans="1:5">
      <c r="A933" s="401"/>
      <c r="B933" s="400"/>
      <c r="C933" s="429"/>
      <c r="D933" s="397"/>
      <c r="E933" s="397"/>
    </row>
    <row r="934" spans="1:5">
      <c r="A934" s="401"/>
      <c r="B934" s="400"/>
      <c r="C934" s="429"/>
      <c r="D934" s="397"/>
      <c r="E934" s="397"/>
    </row>
    <row r="935" spans="1:5">
      <c r="A935" s="401"/>
      <c r="B935" s="400"/>
      <c r="C935" s="429"/>
      <c r="D935" s="397"/>
      <c r="E935" s="397"/>
    </row>
    <row r="936" spans="1:5">
      <c r="A936" s="401"/>
      <c r="B936" s="400"/>
      <c r="C936" s="429"/>
      <c r="D936" s="397"/>
      <c r="E936" s="397"/>
    </row>
    <row r="937" spans="1:5">
      <c r="A937" s="401"/>
      <c r="B937" s="400"/>
      <c r="C937" s="429"/>
      <c r="D937" s="397"/>
      <c r="E937" s="397"/>
    </row>
    <row r="938" spans="1:5">
      <c r="A938" s="401"/>
      <c r="B938" s="400"/>
      <c r="C938" s="429"/>
      <c r="D938" s="397"/>
      <c r="E938" s="397"/>
    </row>
    <row r="939" spans="1:5">
      <c r="A939" s="401"/>
      <c r="B939" s="400"/>
      <c r="C939" s="429"/>
      <c r="D939" s="397"/>
      <c r="E939" s="397"/>
    </row>
    <row r="940" spans="1:5">
      <c r="A940" s="401"/>
      <c r="B940" s="400"/>
      <c r="C940" s="429"/>
      <c r="D940" s="397"/>
      <c r="E940" s="397"/>
    </row>
    <row r="941" spans="1:5">
      <c r="A941" s="401"/>
      <c r="B941" s="400"/>
      <c r="C941" s="429"/>
      <c r="D941" s="397"/>
      <c r="E941" s="397"/>
    </row>
    <row r="942" spans="1:5">
      <c r="A942" s="401"/>
      <c r="B942" s="400"/>
      <c r="C942" s="429"/>
      <c r="D942" s="397"/>
      <c r="E942" s="397"/>
    </row>
    <row r="943" spans="1:5">
      <c r="A943" s="401"/>
      <c r="B943" s="400"/>
      <c r="C943" s="429"/>
      <c r="D943" s="397"/>
      <c r="E943" s="397"/>
    </row>
    <row r="944" spans="1:5">
      <c r="A944" s="401"/>
      <c r="B944" s="400"/>
      <c r="C944" s="429"/>
      <c r="D944" s="397"/>
      <c r="E944" s="397"/>
    </row>
    <row r="945" spans="1:5">
      <c r="A945" s="401"/>
      <c r="B945" s="400"/>
      <c r="C945" s="429"/>
      <c r="D945" s="397"/>
      <c r="E945" s="397"/>
    </row>
    <row r="946" spans="1:5">
      <c r="A946" s="401"/>
      <c r="B946" s="400"/>
      <c r="C946" s="429"/>
      <c r="D946" s="397"/>
      <c r="E946" s="397"/>
    </row>
    <row r="947" spans="1:5">
      <c r="A947" s="401"/>
      <c r="B947" s="400"/>
      <c r="C947" s="429"/>
      <c r="D947" s="397"/>
      <c r="E947" s="397"/>
    </row>
    <row r="948" spans="1:5">
      <c r="A948" s="401"/>
      <c r="B948" s="400"/>
      <c r="C948" s="429"/>
      <c r="D948" s="397"/>
      <c r="E948" s="397"/>
    </row>
    <row r="949" spans="1:5">
      <c r="A949" s="401"/>
      <c r="B949" s="400"/>
      <c r="C949" s="429"/>
      <c r="D949" s="397"/>
      <c r="E949" s="397"/>
    </row>
    <row r="950" spans="1:5">
      <c r="A950" s="401"/>
      <c r="B950" s="400"/>
      <c r="C950" s="429"/>
      <c r="D950" s="397"/>
      <c r="E950" s="397"/>
    </row>
    <row r="951" spans="1:5">
      <c r="A951" s="401"/>
      <c r="B951" s="400"/>
      <c r="C951" s="429"/>
      <c r="D951" s="397"/>
      <c r="E951" s="397"/>
    </row>
    <row r="952" spans="1:5">
      <c r="A952" s="401"/>
      <c r="B952" s="400"/>
      <c r="C952" s="429"/>
      <c r="D952" s="397"/>
      <c r="E952" s="397"/>
    </row>
    <row r="953" spans="1:5">
      <c r="A953" s="401"/>
      <c r="B953" s="400"/>
      <c r="C953" s="429"/>
      <c r="D953" s="397"/>
      <c r="E953" s="397"/>
    </row>
    <row r="954" spans="1:5">
      <c r="A954" s="401"/>
      <c r="B954" s="400"/>
      <c r="C954" s="429"/>
      <c r="D954" s="397"/>
      <c r="E954" s="397"/>
    </row>
    <row r="955" spans="1:5">
      <c r="A955" s="401"/>
      <c r="B955" s="400"/>
      <c r="C955" s="429"/>
      <c r="D955" s="397"/>
      <c r="E955" s="397"/>
    </row>
    <row r="956" spans="1:5">
      <c r="A956" s="401"/>
      <c r="B956" s="400"/>
      <c r="C956" s="429"/>
      <c r="D956" s="397"/>
      <c r="E956" s="397"/>
    </row>
    <row r="957" spans="1:5">
      <c r="A957" s="401"/>
      <c r="B957" s="400"/>
      <c r="C957" s="429"/>
      <c r="D957" s="397"/>
      <c r="E957" s="397"/>
    </row>
    <row r="958" spans="1:5">
      <c r="A958" s="401"/>
      <c r="B958" s="400"/>
      <c r="C958" s="429"/>
      <c r="D958" s="397"/>
      <c r="E958" s="397"/>
    </row>
    <row r="959" spans="1:5">
      <c r="A959" s="401"/>
      <c r="B959" s="400"/>
      <c r="C959" s="429"/>
      <c r="D959" s="397"/>
      <c r="E959" s="397"/>
    </row>
    <row r="960" spans="1:5">
      <c r="A960" s="401"/>
      <c r="B960" s="400"/>
      <c r="C960" s="429"/>
      <c r="D960" s="397"/>
      <c r="E960" s="397"/>
    </row>
    <row r="961" spans="1:5">
      <c r="A961" s="401"/>
      <c r="B961" s="400"/>
      <c r="C961" s="429"/>
      <c r="D961" s="397"/>
      <c r="E961" s="397"/>
    </row>
    <row r="962" spans="1:5">
      <c r="A962" s="401"/>
      <c r="B962" s="400"/>
      <c r="C962" s="429"/>
      <c r="D962" s="397"/>
      <c r="E962" s="397"/>
    </row>
    <row r="963" spans="1:5">
      <c r="A963" s="401"/>
      <c r="B963" s="400"/>
      <c r="C963" s="429"/>
      <c r="D963" s="397"/>
      <c r="E963" s="397"/>
    </row>
    <row r="964" spans="1:5">
      <c r="A964" s="401"/>
      <c r="B964" s="400"/>
      <c r="C964" s="429"/>
      <c r="D964" s="397"/>
      <c r="E964" s="397"/>
    </row>
    <row r="965" spans="1:5">
      <c r="A965" s="401"/>
      <c r="B965" s="400"/>
      <c r="C965" s="429"/>
      <c r="D965" s="397"/>
      <c r="E965" s="397"/>
    </row>
    <row r="966" spans="1:5">
      <c r="A966" s="401"/>
      <c r="B966" s="400"/>
      <c r="C966" s="429"/>
      <c r="D966" s="397"/>
      <c r="E966" s="397"/>
    </row>
    <row r="967" spans="1:5">
      <c r="A967" s="401"/>
      <c r="B967" s="400"/>
      <c r="C967" s="429"/>
      <c r="D967" s="397"/>
      <c r="E967" s="397"/>
    </row>
    <row r="968" spans="1:5">
      <c r="A968" s="401"/>
      <c r="B968" s="400"/>
      <c r="C968" s="429"/>
      <c r="D968" s="397"/>
      <c r="E968" s="397"/>
    </row>
    <row r="969" spans="1:5">
      <c r="A969" s="401"/>
      <c r="B969" s="400"/>
      <c r="C969" s="429"/>
      <c r="D969" s="397"/>
      <c r="E969" s="397"/>
    </row>
    <row r="970" spans="1:5">
      <c r="A970" s="401"/>
      <c r="B970" s="400"/>
      <c r="C970" s="429"/>
      <c r="D970" s="397"/>
      <c r="E970" s="397"/>
    </row>
    <row r="971" spans="1:5">
      <c r="A971" s="401"/>
      <c r="B971" s="400"/>
      <c r="C971" s="429"/>
      <c r="D971" s="397"/>
      <c r="E971" s="397"/>
    </row>
    <row r="972" spans="1:5">
      <c r="A972" s="401"/>
      <c r="B972" s="400"/>
      <c r="C972" s="429"/>
      <c r="D972" s="397"/>
      <c r="E972" s="397"/>
    </row>
    <row r="973" spans="1:5">
      <c r="A973" s="401"/>
      <c r="B973" s="400"/>
      <c r="C973" s="429"/>
      <c r="D973" s="397"/>
      <c r="E973" s="397"/>
    </row>
    <row r="974" spans="1:5">
      <c r="A974" s="401"/>
      <c r="B974" s="400"/>
      <c r="C974" s="429"/>
      <c r="D974" s="397"/>
      <c r="E974" s="397"/>
    </row>
    <row r="975" spans="1:5">
      <c r="A975" s="401"/>
      <c r="B975" s="400"/>
      <c r="C975" s="429"/>
      <c r="D975" s="397"/>
      <c r="E975" s="397"/>
    </row>
    <row r="976" spans="1:5">
      <c r="A976" s="401"/>
      <c r="B976" s="400"/>
      <c r="C976" s="429"/>
      <c r="D976" s="397"/>
      <c r="E976" s="397"/>
    </row>
    <row r="977" spans="1:5">
      <c r="A977" s="401"/>
      <c r="B977" s="400"/>
      <c r="C977" s="429"/>
      <c r="D977" s="397"/>
      <c r="E977" s="397"/>
    </row>
    <row r="978" spans="1:5">
      <c r="A978" s="401"/>
      <c r="B978" s="400"/>
      <c r="C978" s="429"/>
      <c r="D978" s="397"/>
      <c r="E978" s="397"/>
    </row>
    <row r="979" spans="1:5">
      <c r="A979" s="401"/>
      <c r="B979" s="400"/>
      <c r="C979" s="429"/>
      <c r="D979" s="397"/>
      <c r="E979" s="397"/>
    </row>
    <row r="980" spans="1:5">
      <c r="A980" s="401"/>
      <c r="B980" s="400"/>
      <c r="C980" s="429"/>
      <c r="D980" s="397"/>
      <c r="E980" s="397"/>
    </row>
    <row r="981" spans="1:5">
      <c r="A981" s="401"/>
      <c r="B981" s="400"/>
      <c r="C981" s="429"/>
      <c r="D981" s="397"/>
      <c r="E981" s="397"/>
    </row>
    <row r="982" spans="1:5">
      <c r="A982" s="401"/>
      <c r="B982" s="400"/>
      <c r="C982" s="429"/>
      <c r="D982" s="397"/>
      <c r="E982" s="397"/>
    </row>
    <row r="983" spans="1:5">
      <c r="A983" s="401"/>
      <c r="B983" s="400"/>
      <c r="C983" s="429"/>
      <c r="D983" s="397"/>
      <c r="E983" s="397"/>
    </row>
    <row r="984" spans="1:5">
      <c r="A984" s="401"/>
      <c r="B984" s="400"/>
      <c r="C984" s="429"/>
      <c r="D984" s="397"/>
      <c r="E984" s="397"/>
    </row>
    <row r="985" spans="1:5">
      <c r="A985" s="401"/>
      <c r="B985" s="400"/>
      <c r="C985" s="429"/>
      <c r="D985" s="397"/>
      <c r="E985" s="397"/>
    </row>
    <row r="986" spans="1:5">
      <c r="A986" s="401"/>
      <c r="B986" s="400"/>
      <c r="C986" s="429"/>
      <c r="D986" s="397"/>
      <c r="E986" s="397"/>
    </row>
    <row r="987" spans="1:5">
      <c r="A987" s="401"/>
      <c r="B987" s="400"/>
      <c r="C987" s="429"/>
      <c r="D987" s="397"/>
      <c r="E987" s="397"/>
    </row>
    <row r="988" spans="1:5">
      <c r="A988" s="401"/>
      <c r="B988" s="400"/>
      <c r="C988" s="429"/>
      <c r="D988" s="397"/>
      <c r="E988" s="397"/>
    </row>
    <row r="989" spans="1:5">
      <c r="A989" s="401"/>
      <c r="B989" s="400"/>
      <c r="C989" s="429"/>
      <c r="D989" s="397"/>
      <c r="E989" s="397"/>
    </row>
    <row r="990" spans="1:5">
      <c r="A990" s="401"/>
      <c r="B990" s="400"/>
      <c r="C990" s="429"/>
      <c r="D990" s="397"/>
      <c r="E990" s="397"/>
    </row>
    <row r="991" spans="1:5">
      <c r="A991" s="401"/>
      <c r="B991" s="400"/>
      <c r="C991" s="429"/>
      <c r="D991" s="397"/>
      <c r="E991" s="397"/>
    </row>
    <row r="992" spans="1:5">
      <c r="A992" s="401"/>
      <c r="B992" s="400"/>
      <c r="C992" s="429"/>
      <c r="D992" s="397"/>
      <c r="E992" s="397"/>
    </row>
    <row r="993" spans="1:5">
      <c r="A993" s="401"/>
      <c r="B993" s="400"/>
      <c r="C993" s="429"/>
      <c r="D993" s="397"/>
      <c r="E993" s="397"/>
    </row>
    <row r="994" spans="1:5">
      <c r="A994" s="401"/>
      <c r="B994" s="400"/>
      <c r="C994" s="429"/>
      <c r="D994" s="397"/>
      <c r="E994" s="397"/>
    </row>
    <row r="995" spans="1:5">
      <c r="A995" s="401"/>
      <c r="B995" s="400"/>
      <c r="C995" s="429"/>
      <c r="D995" s="397"/>
      <c r="E995" s="397"/>
    </row>
    <row r="996" spans="1:5">
      <c r="A996" s="401"/>
      <c r="B996" s="400"/>
      <c r="C996" s="429"/>
      <c r="D996" s="397"/>
      <c r="E996" s="397"/>
    </row>
    <row r="997" spans="1:5">
      <c r="A997" s="401"/>
      <c r="B997" s="400"/>
      <c r="C997" s="429"/>
      <c r="D997" s="397"/>
      <c r="E997" s="397"/>
    </row>
    <row r="998" spans="1:5">
      <c r="A998" s="401"/>
      <c r="B998" s="400"/>
      <c r="C998" s="429"/>
      <c r="D998" s="397"/>
      <c r="E998" s="397"/>
    </row>
    <row r="999" spans="1:5">
      <c r="A999" s="401"/>
      <c r="B999" s="400"/>
      <c r="C999" s="429"/>
      <c r="D999" s="397"/>
      <c r="E999" s="397"/>
    </row>
    <row r="1000" spans="1:5">
      <c r="A1000" s="401"/>
      <c r="B1000" s="400"/>
      <c r="C1000" s="429"/>
      <c r="D1000" s="397"/>
      <c r="E1000" s="397"/>
    </row>
    <row r="1001" spans="1:5">
      <c r="A1001" s="401"/>
      <c r="B1001" s="400"/>
      <c r="C1001" s="429"/>
      <c r="D1001" s="397"/>
      <c r="E1001" s="397"/>
    </row>
    <row r="1002" spans="1:5">
      <c r="A1002" s="401"/>
      <c r="B1002" s="400"/>
      <c r="C1002" s="429"/>
      <c r="D1002" s="397"/>
      <c r="E1002" s="397"/>
    </row>
    <row r="1003" spans="1:5">
      <c r="A1003" s="401"/>
      <c r="B1003" s="400"/>
      <c r="C1003" s="429"/>
      <c r="D1003" s="397"/>
      <c r="E1003" s="397"/>
    </row>
    <row r="1004" spans="1:5">
      <c r="A1004" s="401"/>
      <c r="B1004" s="400"/>
      <c r="C1004" s="429"/>
      <c r="D1004" s="397"/>
      <c r="E1004" s="397"/>
    </row>
    <row r="1005" spans="1:5">
      <c r="A1005" s="401"/>
      <c r="B1005" s="400"/>
      <c r="C1005" s="429"/>
      <c r="D1005" s="397"/>
      <c r="E1005" s="397"/>
    </row>
    <row r="1006" spans="1:5">
      <c r="A1006" s="401"/>
      <c r="B1006" s="400"/>
      <c r="C1006" s="429"/>
      <c r="D1006" s="397"/>
      <c r="E1006" s="397"/>
    </row>
    <row r="1007" spans="1:5">
      <c r="A1007" s="401"/>
      <c r="B1007" s="400"/>
      <c r="C1007" s="429"/>
      <c r="D1007" s="397"/>
      <c r="E1007" s="397"/>
    </row>
    <row r="1008" spans="1:5">
      <c r="A1008" s="441"/>
      <c r="B1008" s="440"/>
      <c r="C1008" s="439"/>
      <c r="D1008" s="439"/>
      <c r="E1008" s="267"/>
    </row>
  </sheetData>
  <mergeCells count="1">
    <mergeCell ref="A1:D1"/>
  </mergeCells>
  <conditionalFormatting sqref="C4:C16 C18:C23 C25:C27 C29:C30 C32 C35 C37:C41 C43:C46">
    <cfRule type="cellIs" dxfId="4" priority="1" operator="equal">
      <formula>"Да"</formula>
    </cfRule>
    <cfRule type="cellIs" dxfId="3" priority="2" operator="equal">
      <formula>"Нет"</formula>
    </cfRule>
  </conditionalFormatting>
  <dataValidations count="1">
    <dataValidation type="list" allowBlank="1" showErrorMessage="1" sqref="C4:C16 C18:C23 C25:C27 C29:C30 C32 C35 C37:C41 C43:C46" xr:uid="{00000000-0002-0000-1300-000000000000}">
      <formula1>",Да,Нет,"</formula1>
    </dataValidation>
  </dataValidations>
  <printOptions horizontalCentered="1" gridLines="1"/>
  <pageMargins left="0.7" right="0.7" top="0.66929133858267709" bottom="0.66929133858267709" header="0" footer="0"/>
  <pageSetup paperSize="9" fitToHeight="0" pageOrder="overThenDown" orientation="portrait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E1010"/>
  <sheetViews>
    <sheetView workbookViewId="0">
      <selection sqref="A1:D1"/>
    </sheetView>
  </sheetViews>
  <sheetFormatPr defaultColWidth="14.42578125" defaultRowHeight="15" customHeight="1"/>
  <cols>
    <col min="1" max="1" width="7.140625" style="257" customWidth="1"/>
    <col min="2" max="2" width="74.5703125" style="257" customWidth="1"/>
    <col min="3" max="3" width="11.85546875" style="257" customWidth="1"/>
    <col min="4" max="4" width="25.85546875" style="257" customWidth="1"/>
    <col min="5" max="5" width="18" style="257" customWidth="1"/>
    <col min="6" max="16384" width="14.42578125" style="257"/>
  </cols>
  <sheetData>
    <row r="1" spans="1:5" ht="16.5" thickBot="1">
      <c r="A1" s="739" t="s">
        <v>585</v>
      </c>
      <c r="B1" s="740"/>
      <c r="C1" s="740"/>
      <c r="D1" s="740"/>
      <c r="E1" s="402"/>
    </row>
    <row r="2" spans="1:5" ht="17.25" thickTop="1" thickBot="1">
      <c r="A2" s="428" t="s">
        <v>81</v>
      </c>
      <c r="B2" s="427" t="s">
        <v>426</v>
      </c>
      <c r="C2" s="428" t="s">
        <v>425</v>
      </c>
      <c r="D2" s="428" t="s">
        <v>424</v>
      </c>
      <c r="E2" s="402"/>
    </row>
    <row r="3" spans="1:5" ht="17.25" thickTop="1" thickBot="1">
      <c r="A3" s="412"/>
      <c r="B3" s="410" t="s">
        <v>423</v>
      </c>
      <c r="C3" s="410"/>
      <c r="D3" s="410"/>
      <c r="E3" s="402"/>
    </row>
    <row r="4" spans="1:5" ht="16.5" thickTop="1">
      <c r="A4" s="443" t="s">
        <v>507</v>
      </c>
      <c r="B4" s="458" t="s">
        <v>422</v>
      </c>
      <c r="C4" s="414"/>
      <c r="D4" s="417"/>
      <c r="E4" s="402"/>
    </row>
    <row r="5" spans="1:5" ht="15.75">
      <c r="A5" s="443" t="s">
        <v>506</v>
      </c>
      <c r="B5" s="449" t="s">
        <v>421</v>
      </c>
      <c r="C5" s="414"/>
      <c r="D5" s="417"/>
      <c r="E5" s="402"/>
    </row>
    <row r="6" spans="1:5" ht="15.75">
      <c r="A6" s="443" t="s">
        <v>505</v>
      </c>
      <c r="B6" s="449" t="s">
        <v>420</v>
      </c>
      <c r="C6" s="414"/>
      <c r="D6" s="417"/>
      <c r="E6" s="402"/>
    </row>
    <row r="7" spans="1:5" ht="15.75">
      <c r="A7" s="443" t="s">
        <v>504</v>
      </c>
      <c r="B7" s="449" t="s">
        <v>419</v>
      </c>
      <c r="C7" s="414"/>
      <c r="D7" s="417"/>
      <c r="E7" s="402"/>
    </row>
    <row r="8" spans="1:5" ht="15.75">
      <c r="A8" s="443" t="s">
        <v>503</v>
      </c>
      <c r="B8" s="449" t="s">
        <v>418</v>
      </c>
      <c r="C8" s="414"/>
      <c r="D8" s="417"/>
      <c r="E8" s="402"/>
    </row>
    <row r="9" spans="1:5" ht="15.75">
      <c r="A9" s="443" t="s">
        <v>502</v>
      </c>
      <c r="B9" s="449" t="s">
        <v>417</v>
      </c>
      <c r="C9" s="414"/>
      <c r="D9" s="417"/>
      <c r="E9" s="402"/>
    </row>
    <row r="10" spans="1:5" ht="26.25">
      <c r="A10" s="443" t="s">
        <v>501</v>
      </c>
      <c r="B10" s="426" t="s">
        <v>416</v>
      </c>
      <c r="C10" s="414"/>
      <c r="D10" s="417"/>
      <c r="E10" s="402"/>
    </row>
    <row r="11" spans="1:5" ht="25.5">
      <c r="A11" s="443" t="s">
        <v>500</v>
      </c>
      <c r="B11" s="425" t="s">
        <v>415</v>
      </c>
      <c r="C11" s="414"/>
      <c r="D11" s="417"/>
      <c r="E11" s="402"/>
    </row>
    <row r="12" spans="1:5" ht="15.75">
      <c r="A12" s="443" t="s">
        <v>499</v>
      </c>
      <c r="B12" s="449" t="s">
        <v>498</v>
      </c>
      <c r="C12" s="414"/>
      <c r="D12" s="417"/>
      <c r="E12" s="402"/>
    </row>
    <row r="13" spans="1:5" ht="25.5">
      <c r="A13" s="443" t="s">
        <v>497</v>
      </c>
      <c r="B13" s="425" t="s">
        <v>584</v>
      </c>
      <c r="C13" s="414"/>
      <c r="D13" s="417"/>
    </row>
    <row r="14" spans="1:5" ht="15.75">
      <c r="A14" s="443" t="s">
        <v>496</v>
      </c>
      <c r="B14" s="449" t="s">
        <v>413</v>
      </c>
      <c r="C14" s="414"/>
      <c r="D14" s="417"/>
      <c r="E14" s="424" t="s">
        <v>412</v>
      </c>
    </row>
    <row r="15" spans="1:5" ht="15.75">
      <c r="A15" s="443" t="s">
        <v>494</v>
      </c>
      <c r="B15" s="449" t="s">
        <v>495</v>
      </c>
      <c r="C15" s="414"/>
      <c r="D15" s="417"/>
      <c r="E15" s="402"/>
    </row>
    <row r="16" spans="1:5" ht="15.75">
      <c r="A16" s="443" t="s">
        <v>493</v>
      </c>
      <c r="B16" s="449" t="s">
        <v>440</v>
      </c>
      <c r="C16" s="414"/>
      <c r="D16" s="417"/>
      <c r="E16" s="402"/>
    </row>
    <row r="17" spans="1:5" ht="16.5" thickBot="1">
      <c r="A17" s="443" t="s">
        <v>583</v>
      </c>
      <c r="B17" s="449" t="s">
        <v>582</v>
      </c>
      <c r="C17" s="414"/>
      <c r="D17" s="417"/>
      <c r="E17" s="402"/>
    </row>
    <row r="18" spans="1:5" ht="17.25" thickTop="1" thickBot="1">
      <c r="A18" s="412"/>
      <c r="B18" s="410" t="s">
        <v>410</v>
      </c>
      <c r="C18" s="410"/>
      <c r="D18" s="410"/>
      <c r="E18" s="402"/>
    </row>
    <row r="19" spans="1:5" ht="16.5" thickTop="1">
      <c r="A19" s="443" t="s">
        <v>491</v>
      </c>
      <c r="B19" s="458" t="s">
        <v>581</v>
      </c>
      <c r="C19" s="414"/>
      <c r="D19" s="417"/>
      <c r="E19" s="402"/>
    </row>
    <row r="20" spans="1:5" ht="15.75">
      <c r="A20" s="443" t="s">
        <v>490</v>
      </c>
      <c r="B20" s="458" t="s">
        <v>485</v>
      </c>
      <c r="C20" s="414"/>
      <c r="D20" s="417"/>
      <c r="E20" s="402"/>
    </row>
    <row r="21" spans="1:5" ht="15.75">
      <c r="A21" s="443" t="s">
        <v>488</v>
      </c>
      <c r="B21" s="458" t="s">
        <v>580</v>
      </c>
      <c r="C21" s="414"/>
      <c r="D21" s="417"/>
      <c r="E21" s="402"/>
    </row>
    <row r="22" spans="1:5" ht="25.5">
      <c r="A22" s="443" t="s">
        <v>486</v>
      </c>
      <c r="B22" s="458" t="s">
        <v>579</v>
      </c>
      <c r="C22" s="414"/>
      <c r="D22" s="417"/>
      <c r="E22" s="402"/>
    </row>
    <row r="23" spans="1:5" ht="15.75">
      <c r="A23" s="443" t="s">
        <v>484</v>
      </c>
      <c r="B23" s="449" t="s">
        <v>578</v>
      </c>
      <c r="C23" s="414"/>
      <c r="D23" s="417"/>
      <c r="E23" s="402"/>
    </row>
    <row r="24" spans="1:5" ht="16.5" thickBot="1">
      <c r="A24" s="443" t="s">
        <v>482</v>
      </c>
      <c r="B24" s="449" t="s">
        <v>577</v>
      </c>
      <c r="C24" s="414"/>
      <c r="D24" s="417"/>
      <c r="E24" s="402"/>
    </row>
    <row r="25" spans="1:5" ht="17.25" thickTop="1" thickBot="1">
      <c r="A25" s="412"/>
      <c r="B25" s="410" t="s">
        <v>576</v>
      </c>
      <c r="C25" s="410"/>
      <c r="D25" s="410"/>
      <c r="E25" s="402"/>
    </row>
    <row r="26" spans="1:5" ht="90" thickTop="1">
      <c r="A26" s="445" t="s">
        <v>480</v>
      </c>
      <c r="B26" s="458" t="s">
        <v>575</v>
      </c>
      <c r="C26" s="414"/>
      <c r="D26" s="422"/>
      <c r="E26" s="402"/>
    </row>
    <row r="27" spans="1:5" ht="15.75">
      <c r="A27" s="443" t="s">
        <v>478</v>
      </c>
      <c r="B27" s="458" t="s">
        <v>574</v>
      </c>
      <c r="C27" s="414"/>
      <c r="D27" s="417"/>
      <c r="E27" s="402"/>
    </row>
    <row r="28" spans="1:5" ht="15.75">
      <c r="A28" s="443" t="s">
        <v>476</v>
      </c>
      <c r="B28" s="458" t="s">
        <v>573</v>
      </c>
      <c r="C28" s="446"/>
      <c r="D28" s="417"/>
      <c r="E28" s="402"/>
    </row>
    <row r="29" spans="1:5" ht="15.75">
      <c r="A29" s="443" t="s">
        <v>572</v>
      </c>
      <c r="B29" s="458" t="s">
        <v>571</v>
      </c>
      <c r="C29" s="414"/>
      <c r="D29" s="417"/>
      <c r="E29" s="402"/>
    </row>
    <row r="30" spans="1:5" ht="15.75">
      <c r="A30" s="443" t="s">
        <v>570</v>
      </c>
      <c r="B30" s="458" t="s">
        <v>569</v>
      </c>
      <c r="C30" s="414"/>
      <c r="D30" s="417"/>
      <c r="E30" s="402"/>
    </row>
    <row r="31" spans="1:5" ht="15.75">
      <c r="A31" s="443" t="s">
        <v>568</v>
      </c>
      <c r="B31" s="458" t="s">
        <v>567</v>
      </c>
      <c r="C31" s="414"/>
      <c r="D31" s="417"/>
      <c r="E31" s="402"/>
    </row>
    <row r="32" spans="1:5" ht="15.75">
      <c r="A32" s="443" t="s">
        <v>566</v>
      </c>
      <c r="B32" s="458" t="s">
        <v>565</v>
      </c>
      <c r="C32" s="414"/>
      <c r="D32" s="417"/>
      <c r="E32" s="402"/>
    </row>
    <row r="33" spans="1:5" ht="15.75">
      <c r="A33" s="443" t="s">
        <v>564</v>
      </c>
      <c r="B33" s="458" t="s">
        <v>563</v>
      </c>
      <c r="C33" s="414"/>
      <c r="D33" s="417"/>
      <c r="E33" s="402"/>
    </row>
    <row r="34" spans="1:5" ht="15.75">
      <c r="A34" s="443" t="s">
        <v>562</v>
      </c>
      <c r="B34" s="458" t="s">
        <v>561</v>
      </c>
      <c r="C34" s="414"/>
      <c r="D34" s="417"/>
      <c r="E34" s="402"/>
    </row>
    <row r="35" spans="1:5" ht="25.5">
      <c r="A35" s="443" t="s">
        <v>560</v>
      </c>
      <c r="B35" s="458" t="s">
        <v>559</v>
      </c>
      <c r="C35" s="414"/>
      <c r="D35" s="417"/>
      <c r="E35" s="402"/>
    </row>
    <row r="36" spans="1:5" ht="25.5">
      <c r="A36" s="443" t="s">
        <v>558</v>
      </c>
      <c r="B36" s="458" t="s">
        <v>557</v>
      </c>
      <c r="C36" s="414"/>
      <c r="D36" s="417"/>
      <c r="E36" s="402"/>
    </row>
    <row r="37" spans="1:5" ht="15.75">
      <c r="A37" s="443" t="s">
        <v>556</v>
      </c>
      <c r="B37" s="458" t="s">
        <v>555</v>
      </c>
      <c r="C37" s="446"/>
      <c r="D37" s="417"/>
      <c r="E37" s="402"/>
    </row>
    <row r="38" spans="1:5" ht="25.5">
      <c r="A38" s="443" t="s">
        <v>554</v>
      </c>
      <c r="B38" s="458" t="s">
        <v>553</v>
      </c>
      <c r="C38" s="414"/>
      <c r="D38" s="417"/>
      <c r="E38" s="402"/>
    </row>
    <row r="39" spans="1:5" ht="38.25">
      <c r="A39" s="443" t="s">
        <v>552</v>
      </c>
      <c r="B39" s="458" t="s">
        <v>551</v>
      </c>
      <c r="C39" s="414"/>
      <c r="D39" s="417"/>
      <c r="E39" s="402"/>
    </row>
    <row r="40" spans="1:5" ht="25.5">
      <c r="A40" s="443" t="s">
        <v>550</v>
      </c>
      <c r="B40" s="458" t="s">
        <v>549</v>
      </c>
      <c r="C40" s="414"/>
      <c r="D40" s="417"/>
      <c r="E40" s="402"/>
    </row>
    <row r="41" spans="1:5" ht="25.5">
      <c r="A41" s="443" t="s">
        <v>548</v>
      </c>
      <c r="B41" s="458" t="s">
        <v>547</v>
      </c>
      <c r="C41" s="414"/>
      <c r="D41" s="417"/>
      <c r="E41" s="402"/>
    </row>
    <row r="42" spans="1:5" ht="51">
      <c r="A42" s="443" t="s">
        <v>546</v>
      </c>
      <c r="B42" s="458" t="s">
        <v>545</v>
      </c>
      <c r="C42" s="414"/>
      <c r="D42" s="417"/>
      <c r="E42" s="402"/>
    </row>
    <row r="43" spans="1:5" ht="51">
      <c r="A43" s="443" t="s">
        <v>544</v>
      </c>
      <c r="B43" s="459" t="s">
        <v>543</v>
      </c>
      <c r="C43" s="446"/>
      <c r="D43" s="417"/>
      <c r="E43" s="402"/>
    </row>
    <row r="44" spans="1:5" ht="25.5">
      <c r="A44" s="443" t="s">
        <v>542</v>
      </c>
      <c r="B44" s="458" t="s">
        <v>541</v>
      </c>
      <c r="C44" s="414"/>
      <c r="D44" s="417"/>
      <c r="E44" s="402"/>
    </row>
    <row r="45" spans="1:5" ht="25.5">
      <c r="A45" s="443" t="s">
        <v>540</v>
      </c>
      <c r="B45" s="458" t="s">
        <v>539</v>
      </c>
      <c r="C45" s="414"/>
      <c r="D45" s="417"/>
      <c r="E45" s="402"/>
    </row>
    <row r="46" spans="1:5" ht="51">
      <c r="A46" s="443" t="s">
        <v>538</v>
      </c>
      <c r="B46" s="458" t="s">
        <v>537</v>
      </c>
      <c r="C46" s="414"/>
      <c r="D46" s="417"/>
      <c r="E46" s="402"/>
    </row>
    <row r="47" spans="1:5" ht="38.25">
      <c r="A47" s="443" t="s">
        <v>536</v>
      </c>
      <c r="B47" s="458" t="s">
        <v>535</v>
      </c>
      <c r="C47" s="414"/>
      <c r="D47" s="417"/>
      <c r="E47" s="402"/>
    </row>
    <row r="48" spans="1:5" ht="16.5" thickBot="1">
      <c r="A48" s="443" t="s">
        <v>534</v>
      </c>
      <c r="B48" s="458" t="s">
        <v>533</v>
      </c>
      <c r="C48" s="414"/>
      <c r="D48" s="417"/>
      <c r="E48" s="402"/>
    </row>
    <row r="49" spans="1:5" ht="17.25" thickTop="1" thickBot="1">
      <c r="A49" s="412"/>
      <c r="B49" s="410" t="s">
        <v>532</v>
      </c>
      <c r="C49" s="410"/>
      <c r="D49" s="410"/>
      <c r="E49" s="402"/>
    </row>
    <row r="50" spans="1:5" ht="16.5" thickTop="1">
      <c r="A50" s="445" t="s">
        <v>474</v>
      </c>
      <c r="B50" s="458" t="s">
        <v>531</v>
      </c>
      <c r="C50" s="414"/>
      <c r="D50" s="417"/>
      <c r="E50" s="402"/>
    </row>
    <row r="51" spans="1:5" ht="39" thickBot="1">
      <c r="A51" s="442" t="s">
        <v>472</v>
      </c>
      <c r="B51" s="458" t="s">
        <v>530</v>
      </c>
      <c r="C51" s="414"/>
      <c r="D51" s="417"/>
      <c r="E51" s="402"/>
    </row>
    <row r="52" spans="1:5" ht="17.25" thickTop="1" thickBot="1">
      <c r="A52" s="412"/>
      <c r="B52" s="410" t="s">
        <v>529</v>
      </c>
      <c r="C52" s="410"/>
      <c r="D52" s="410"/>
      <c r="E52" s="402"/>
    </row>
    <row r="53" spans="1:5" ht="26.25" thickTop="1">
      <c r="A53" s="445" t="s">
        <v>469</v>
      </c>
      <c r="B53" s="458" t="s">
        <v>528</v>
      </c>
      <c r="C53" s="414"/>
      <c r="D53" s="417"/>
      <c r="E53" s="402"/>
    </row>
    <row r="54" spans="1:5" ht="38.25">
      <c r="A54" s="443" t="s">
        <v>527</v>
      </c>
      <c r="B54" s="458" t="s">
        <v>526</v>
      </c>
      <c r="C54" s="414"/>
      <c r="D54" s="417"/>
      <c r="E54" s="402"/>
    </row>
    <row r="55" spans="1:5" ht="16.5" thickBot="1">
      <c r="A55" s="443" t="s">
        <v>525</v>
      </c>
      <c r="B55" s="458" t="s">
        <v>524</v>
      </c>
      <c r="C55" s="414"/>
      <c r="D55" s="417"/>
      <c r="E55" s="402"/>
    </row>
    <row r="56" spans="1:5" ht="17.25" thickTop="1" thickBot="1">
      <c r="A56" s="412"/>
      <c r="B56" s="410" t="s">
        <v>467</v>
      </c>
      <c r="C56" s="410"/>
      <c r="D56" s="410"/>
      <c r="E56" s="402"/>
    </row>
    <row r="57" spans="1:5" ht="16.5" thickTop="1">
      <c r="A57" s="445" t="s">
        <v>466</v>
      </c>
      <c r="B57" s="458" t="s">
        <v>523</v>
      </c>
      <c r="C57" s="414"/>
      <c r="D57" s="417"/>
      <c r="E57" s="402"/>
    </row>
    <row r="58" spans="1:5" ht="89.25">
      <c r="A58" s="443" t="s">
        <v>462</v>
      </c>
      <c r="B58" s="458" t="s">
        <v>522</v>
      </c>
      <c r="C58" s="414"/>
      <c r="D58" s="417"/>
      <c r="E58" s="402"/>
    </row>
    <row r="59" spans="1:5" ht="16.5" thickBot="1">
      <c r="A59" s="443" t="s">
        <v>521</v>
      </c>
      <c r="B59" s="458" t="s">
        <v>520</v>
      </c>
      <c r="C59" s="414"/>
      <c r="D59" s="417"/>
      <c r="E59" s="402"/>
    </row>
    <row r="60" spans="1:5" ht="27" thickTop="1" thickBot="1">
      <c r="A60" s="412"/>
      <c r="B60" s="410" t="s">
        <v>519</v>
      </c>
      <c r="C60" s="410"/>
      <c r="D60" s="410"/>
      <c r="E60" s="402"/>
    </row>
    <row r="61" spans="1:5" ht="16.5" thickTop="1">
      <c r="A61" s="445" t="s">
        <v>450</v>
      </c>
      <c r="B61" s="458" t="s">
        <v>518</v>
      </c>
      <c r="C61" s="414"/>
      <c r="D61" s="417"/>
      <c r="E61" s="402"/>
    </row>
    <row r="62" spans="1:5" ht="102">
      <c r="A62" s="443" t="s">
        <v>448</v>
      </c>
      <c r="B62" s="458" t="s">
        <v>517</v>
      </c>
      <c r="C62" s="414"/>
      <c r="D62" s="417"/>
      <c r="E62" s="402"/>
    </row>
    <row r="63" spans="1:5" ht="76.5">
      <c r="A63" s="443" t="s">
        <v>446</v>
      </c>
      <c r="B63" s="458" t="s">
        <v>516</v>
      </c>
      <c r="C63" s="414"/>
      <c r="D63" s="417"/>
      <c r="E63" s="402"/>
    </row>
    <row r="64" spans="1:5" ht="15.75">
      <c r="A64" s="443" t="s">
        <v>444</v>
      </c>
      <c r="B64" s="458" t="s">
        <v>515</v>
      </c>
      <c r="C64" s="414"/>
      <c r="D64" s="417"/>
      <c r="E64" s="402"/>
    </row>
    <row r="65" spans="1:5" ht="76.5">
      <c r="A65" s="443" t="s">
        <v>514</v>
      </c>
      <c r="B65" s="458" t="s">
        <v>513</v>
      </c>
      <c r="C65" s="414"/>
      <c r="D65" s="417"/>
      <c r="E65" s="402"/>
    </row>
    <row r="66" spans="1:5" ht="16.5" thickBot="1">
      <c r="A66" s="443" t="s">
        <v>512</v>
      </c>
      <c r="B66" s="458" t="s">
        <v>511</v>
      </c>
      <c r="C66" s="414"/>
      <c r="D66" s="417"/>
      <c r="E66" s="402"/>
    </row>
    <row r="67" spans="1:5" ht="17.25" thickTop="1" thickBot="1">
      <c r="A67" s="457"/>
      <c r="B67" s="411" t="s">
        <v>510</v>
      </c>
      <c r="C67" s="411"/>
      <c r="D67" s="411"/>
      <c r="E67" s="402"/>
    </row>
    <row r="68" spans="1:5" ht="27" thickTop="1" thickBot="1">
      <c r="A68" s="456" t="s">
        <v>509</v>
      </c>
      <c r="B68" s="455" t="s">
        <v>388</v>
      </c>
      <c r="C68" s="407"/>
      <c r="D68" s="454"/>
      <c r="E68" s="402"/>
    </row>
    <row r="69" spans="1:5" ht="15.75" customHeight="1" thickTop="1">
      <c r="A69" s="401"/>
      <c r="B69" s="453"/>
      <c r="C69" s="429"/>
      <c r="D69" s="398"/>
      <c r="E69" s="402"/>
    </row>
    <row r="70" spans="1:5" ht="15.75">
      <c r="A70" s="401"/>
      <c r="B70" s="453"/>
      <c r="C70" s="429"/>
      <c r="D70" s="398"/>
      <c r="E70" s="402"/>
    </row>
    <row r="71" spans="1:5" ht="15.75">
      <c r="A71" s="401"/>
      <c r="B71" s="453"/>
      <c r="C71" s="429"/>
      <c r="D71" s="398"/>
      <c r="E71" s="402"/>
    </row>
    <row r="72" spans="1:5" ht="15.75">
      <c r="A72" s="401"/>
      <c r="B72" s="453"/>
      <c r="C72" s="429"/>
      <c r="D72" s="398"/>
      <c r="E72" s="402"/>
    </row>
    <row r="73" spans="1:5" ht="15.75">
      <c r="A73" s="401"/>
      <c r="B73" s="453"/>
      <c r="C73" s="429"/>
      <c r="D73" s="398"/>
      <c r="E73" s="402"/>
    </row>
    <row r="74" spans="1:5" ht="15.75">
      <c r="A74" s="401"/>
      <c r="B74" s="453"/>
      <c r="C74" s="429"/>
      <c r="D74" s="398"/>
      <c r="E74" s="402"/>
    </row>
    <row r="75" spans="1:5" ht="15.75">
      <c r="A75" s="401"/>
      <c r="B75" s="453"/>
      <c r="C75" s="429"/>
      <c r="D75" s="398"/>
      <c r="E75" s="402"/>
    </row>
    <row r="76" spans="1:5" ht="15.75">
      <c r="A76" s="401"/>
      <c r="B76" s="453"/>
      <c r="C76" s="429"/>
      <c r="D76" s="398"/>
      <c r="E76" s="402"/>
    </row>
    <row r="77" spans="1:5" ht="15.75">
      <c r="A77" s="401"/>
      <c r="B77" s="453"/>
      <c r="C77" s="429"/>
      <c r="D77" s="398"/>
      <c r="E77" s="402"/>
    </row>
    <row r="78" spans="1:5" ht="15.75">
      <c r="A78" s="401"/>
      <c r="B78" s="453"/>
      <c r="C78" s="429"/>
      <c r="D78" s="398"/>
      <c r="E78" s="402"/>
    </row>
    <row r="79" spans="1:5" ht="15.75">
      <c r="A79" s="401"/>
      <c r="B79" s="453"/>
      <c r="C79" s="429"/>
      <c r="D79" s="398"/>
      <c r="E79" s="402"/>
    </row>
    <row r="80" spans="1:5" ht="15.75">
      <c r="A80" s="401"/>
      <c r="B80" s="453"/>
      <c r="C80" s="429"/>
      <c r="D80" s="398"/>
      <c r="E80" s="402"/>
    </row>
    <row r="81" spans="1:5" ht="15.75">
      <c r="A81" s="401"/>
      <c r="B81" s="453"/>
      <c r="C81" s="429"/>
      <c r="D81" s="398"/>
      <c r="E81" s="402"/>
    </row>
    <row r="82" spans="1:5" ht="15.75">
      <c r="A82" s="401"/>
      <c r="B82" s="453"/>
      <c r="C82" s="429"/>
      <c r="D82" s="398"/>
      <c r="E82" s="402"/>
    </row>
    <row r="83" spans="1:5" ht="15.75">
      <c r="A83" s="401"/>
      <c r="B83" s="453"/>
      <c r="C83" s="429"/>
      <c r="D83" s="398"/>
      <c r="E83" s="402"/>
    </row>
    <row r="84" spans="1:5" ht="15.75">
      <c r="A84" s="401"/>
      <c r="B84" s="453"/>
      <c r="C84" s="429"/>
      <c r="D84" s="398"/>
      <c r="E84" s="402"/>
    </row>
    <row r="85" spans="1:5" ht="15.75">
      <c r="A85" s="401"/>
      <c r="B85" s="453"/>
      <c r="C85" s="429"/>
      <c r="D85" s="398"/>
      <c r="E85" s="402"/>
    </row>
    <row r="86" spans="1:5" ht="15.75">
      <c r="A86" s="401"/>
      <c r="B86" s="453"/>
      <c r="C86" s="429"/>
      <c r="D86" s="398"/>
      <c r="E86" s="402"/>
    </row>
    <row r="87" spans="1:5" ht="15.75">
      <c r="A87" s="401"/>
      <c r="B87" s="453"/>
      <c r="C87" s="429"/>
      <c r="D87" s="398"/>
      <c r="E87" s="402"/>
    </row>
    <row r="88" spans="1:5" ht="15.75">
      <c r="A88" s="401"/>
      <c r="B88" s="453"/>
      <c r="C88" s="429"/>
      <c r="D88" s="398"/>
      <c r="E88" s="402"/>
    </row>
    <row r="89" spans="1:5" ht="15.75">
      <c r="A89" s="401"/>
      <c r="B89" s="453"/>
      <c r="C89" s="429"/>
      <c r="D89" s="398"/>
      <c r="E89" s="402"/>
    </row>
    <row r="90" spans="1:5" ht="15.75">
      <c r="A90" s="401"/>
      <c r="B90" s="453"/>
      <c r="C90" s="429"/>
      <c r="D90" s="398"/>
      <c r="E90" s="402"/>
    </row>
    <row r="91" spans="1:5" ht="15.75">
      <c r="A91" s="401"/>
      <c r="B91" s="453"/>
      <c r="C91" s="429"/>
      <c r="D91" s="398"/>
      <c r="E91" s="402"/>
    </row>
    <row r="92" spans="1:5" ht="15.75">
      <c r="A92" s="401"/>
      <c r="B92" s="453"/>
      <c r="C92" s="429"/>
      <c r="D92" s="398"/>
      <c r="E92" s="402"/>
    </row>
    <row r="93" spans="1:5" ht="15.75">
      <c r="A93" s="401"/>
      <c r="B93" s="453"/>
      <c r="C93" s="429"/>
      <c r="D93" s="398"/>
      <c r="E93" s="402"/>
    </row>
    <row r="94" spans="1:5" ht="15.75">
      <c r="A94" s="401"/>
      <c r="B94" s="453"/>
      <c r="C94" s="429"/>
      <c r="D94" s="398"/>
      <c r="E94" s="402"/>
    </row>
    <row r="95" spans="1:5" ht="15.75">
      <c r="A95" s="401"/>
      <c r="B95" s="453"/>
      <c r="C95" s="429"/>
      <c r="D95" s="398"/>
      <c r="E95" s="402"/>
    </row>
    <row r="96" spans="1:5" ht="15.75">
      <c r="A96" s="401"/>
      <c r="B96" s="453"/>
      <c r="C96" s="429"/>
      <c r="D96" s="398"/>
      <c r="E96" s="402"/>
    </row>
    <row r="97" spans="1:5" ht="15.75">
      <c r="A97" s="401"/>
      <c r="B97" s="453"/>
      <c r="C97" s="429"/>
      <c r="D97" s="398"/>
      <c r="E97" s="402"/>
    </row>
    <row r="98" spans="1:5" ht="15.75">
      <c r="A98" s="401"/>
      <c r="B98" s="453"/>
      <c r="C98" s="429"/>
      <c r="D98" s="398"/>
      <c r="E98" s="402"/>
    </row>
    <row r="99" spans="1:5" ht="15.75">
      <c r="A99" s="401"/>
      <c r="B99" s="453"/>
      <c r="C99" s="429"/>
      <c r="D99" s="398"/>
      <c r="E99" s="402"/>
    </row>
    <row r="100" spans="1:5" ht="15.75">
      <c r="A100" s="401"/>
      <c r="B100" s="453"/>
      <c r="C100" s="429"/>
      <c r="D100" s="398"/>
      <c r="E100" s="402"/>
    </row>
    <row r="101" spans="1:5" ht="15.75">
      <c r="A101" s="401"/>
      <c r="B101" s="453"/>
      <c r="C101" s="429"/>
      <c r="D101" s="398"/>
      <c r="E101" s="402"/>
    </row>
    <row r="102" spans="1:5" ht="15.75">
      <c r="A102" s="401"/>
      <c r="B102" s="453"/>
      <c r="C102" s="429"/>
      <c r="D102" s="398"/>
      <c r="E102" s="402"/>
    </row>
    <row r="103" spans="1:5" ht="15.75">
      <c r="A103" s="401"/>
      <c r="B103" s="453"/>
      <c r="C103" s="429"/>
      <c r="D103" s="398"/>
      <c r="E103" s="402"/>
    </row>
    <row r="104" spans="1:5" ht="15.75">
      <c r="A104" s="401"/>
      <c r="B104" s="453"/>
      <c r="C104" s="429"/>
      <c r="D104" s="398"/>
      <c r="E104" s="402"/>
    </row>
    <row r="105" spans="1:5" ht="15.75">
      <c r="A105" s="401"/>
      <c r="B105" s="453"/>
      <c r="C105" s="429"/>
      <c r="D105" s="398"/>
      <c r="E105" s="402"/>
    </row>
    <row r="106" spans="1:5" ht="15.75">
      <c r="A106" s="401"/>
      <c r="B106" s="453"/>
      <c r="C106" s="429"/>
      <c r="D106" s="398"/>
      <c r="E106" s="402"/>
    </row>
    <row r="107" spans="1:5" ht="15.75">
      <c r="A107" s="401"/>
      <c r="B107" s="453"/>
      <c r="C107" s="429"/>
      <c r="D107" s="398"/>
      <c r="E107" s="402"/>
    </row>
    <row r="108" spans="1:5" ht="15.75">
      <c r="A108" s="401"/>
      <c r="B108" s="453"/>
      <c r="C108" s="429"/>
      <c r="D108" s="398"/>
      <c r="E108" s="402"/>
    </row>
    <row r="109" spans="1:5" ht="15.75">
      <c r="A109" s="401"/>
      <c r="B109" s="453"/>
      <c r="C109" s="429"/>
      <c r="D109" s="398"/>
      <c r="E109" s="402"/>
    </row>
    <row r="110" spans="1:5" ht="15.75">
      <c r="A110" s="401"/>
      <c r="B110" s="453"/>
      <c r="C110" s="429"/>
      <c r="D110" s="398"/>
      <c r="E110" s="402"/>
    </row>
    <row r="111" spans="1:5" ht="15.75">
      <c r="A111" s="401"/>
      <c r="B111" s="453"/>
      <c r="C111" s="429"/>
      <c r="D111" s="398"/>
      <c r="E111" s="402"/>
    </row>
    <row r="112" spans="1:5">
      <c r="A112" s="401"/>
      <c r="B112" s="453"/>
      <c r="C112" s="429"/>
      <c r="D112" s="398"/>
      <c r="E112" s="397"/>
    </row>
    <row r="113" spans="1:5">
      <c r="A113" s="401"/>
      <c r="B113" s="453"/>
      <c r="C113" s="429"/>
      <c r="D113" s="398"/>
      <c r="E113" s="397"/>
    </row>
    <row r="114" spans="1:5">
      <c r="A114" s="401"/>
      <c r="B114" s="453"/>
      <c r="C114" s="429"/>
      <c r="D114" s="398"/>
      <c r="E114" s="397"/>
    </row>
    <row r="115" spans="1:5">
      <c r="A115" s="401"/>
      <c r="B115" s="453"/>
      <c r="C115" s="429"/>
      <c r="D115" s="398"/>
      <c r="E115" s="397"/>
    </row>
    <row r="116" spans="1:5">
      <c r="A116" s="401"/>
      <c r="B116" s="453"/>
      <c r="C116" s="429"/>
      <c r="D116" s="398"/>
      <c r="E116" s="397"/>
    </row>
    <row r="117" spans="1:5">
      <c r="A117" s="401"/>
      <c r="B117" s="453"/>
      <c r="C117" s="429"/>
      <c r="D117" s="398"/>
      <c r="E117" s="397"/>
    </row>
    <row r="118" spans="1:5">
      <c r="A118" s="401"/>
      <c r="B118" s="453"/>
      <c r="C118" s="429"/>
      <c r="D118" s="398"/>
      <c r="E118" s="397"/>
    </row>
    <row r="119" spans="1:5">
      <c r="A119" s="401"/>
      <c r="B119" s="453"/>
      <c r="C119" s="429"/>
      <c r="D119" s="398"/>
      <c r="E119" s="397"/>
    </row>
    <row r="120" spans="1:5">
      <c r="A120" s="401"/>
      <c r="B120" s="453"/>
      <c r="C120" s="429"/>
      <c r="D120" s="398"/>
      <c r="E120" s="397"/>
    </row>
    <row r="121" spans="1:5">
      <c r="A121" s="401"/>
      <c r="B121" s="453"/>
      <c r="C121" s="429"/>
      <c r="D121" s="398"/>
      <c r="E121" s="397"/>
    </row>
    <row r="122" spans="1:5">
      <c r="A122" s="401"/>
      <c r="B122" s="453"/>
      <c r="C122" s="429"/>
      <c r="D122" s="398"/>
      <c r="E122" s="397"/>
    </row>
    <row r="123" spans="1:5">
      <c r="A123" s="401"/>
      <c r="B123" s="453"/>
      <c r="C123" s="429"/>
      <c r="D123" s="398"/>
      <c r="E123" s="397"/>
    </row>
    <row r="124" spans="1:5">
      <c r="A124" s="401"/>
      <c r="B124" s="453"/>
      <c r="C124" s="429"/>
      <c r="D124" s="398"/>
      <c r="E124" s="397"/>
    </row>
    <row r="125" spans="1:5">
      <c r="A125" s="401"/>
      <c r="B125" s="453"/>
      <c r="C125" s="429"/>
      <c r="D125" s="398"/>
      <c r="E125" s="397"/>
    </row>
    <row r="126" spans="1:5">
      <c r="A126" s="401"/>
      <c r="B126" s="453"/>
      <c r="C126" s="429"/>
      <c r="D126" s="398"/>
      <c r="E126" s="397"/>
    </row>
    <row r="127" spans="1:5">
      <c r="A127" s="401"/>
      <c r="B127" s="453"/>
      <c r="C127" s="429"/>
      <c r="D127" s="398"/>
      <c r="E127" s="397"/>
    </row>
    <row r="128" spans="1:5">
      <c r="A128" s="401"/>
      <c r="B128" s="453"/>
      <c r="C128" s="429"/>
      <c r="D128" s="398"/>
      <c r="E128" s="397"/>
    </row>
    <row r="129" spans="1:5">
      <c r="A129" s="401"/>
      <c r="B129" s="453"/>
      <c r="C129" s="429"/>
      <c r="D129" s="398"/>
      <c r="E129" s="397"/>
    </row>
    <row r="130" spans="1:5">
      <c r="A130" s="401"/>
      <c r="B130" s="453"/>
      <c r="C130" s="429"/>
      <c r="D130" s="398"/>
      <c r="E130" s="397"/>
    </row>
    <row r="131" spans="1:5">
      <c r="A131" s="401"/>
      <c r="B131" s="453"/>
      <c r="C131" s="429"/>
      <c r="D131" s="398"/>
      <c r="E131" s="397"/>
    </row>
    <row r="132" spans="1:5">
      <c r="A132" s="401"/>
      <c r="B132" s="453"/>
      <c r="C132" s="429"/>
      <c r="D132" s="398"/>
      <c r="E132" s="397"/>
    </row>
    <row r="133" spans="1:5">
      <c r="A133" s="401"/>
      <c r="B133" s="453"/>
      <c r="C133" s="429"/>
      <c r="D133" s="398"/>
      <c r="E133" s="397"/>
    </row>
    <row r="134" spans="1:5">
      <c r="A134" s="401"/>
      <c r="B134" s="453"/>
      <c r="C134" s="429"/>
      <c r="D134" s="398"/>
      <c r="E134" s="397"/>
    </row>
    <row r="135" spans="1:5">
      <c r="A135" s="401"/>
      <c r="B135" s="453"/>
      <c r="C135" s="429"/>
      <c r="D135" s="398"/>
      <c r="E135" s="397"/>
    </row>
    <row r="136" spans="1:5">
      <c r="A136" s="401"/>
      <c r="B136" s="453"/>
      <c r="C136" s="429"/>
      <c r="D136" s="398"/>
      <c r="E136" s="397"/>
    </row>
    <row r="137" spans="1:5">
      <c r="A137" s="401"/>
      <c r="B137" s="453"/>
      <c r="C137" s="429"/>
      <c r="D137" s="398"/>
      <c r="E137" s="397"/>
    </row>
    <row r="138" spans="1:5">
      <c r="A138" s="401"/>
      <c r="B138" s="453"/>
      <c r="C138" s="429"/>
      <c r="D138" s="398"/>
      <c r="E138" s="397"/>
    </row>
    <row r="139" spans="1:5">
      <c r="A139" s="401"/>
      <c r="B139" s="453"/>
      <c r="C139" s="429"/>
      <c r="D139" s="398"/>
      <c r="E139" s="397"/>
    </row>
    <row r="140" spans="1:5">
      <c r="A140" s="401"/>
      <c r="B140" s="453"/>
      <c r="C140" s="429"/>
      <c r="D140" s="398"/>
      <c r="E140" s="397"/>
    </row>
    <row r="141" spans="1:5">
      <c r="A141" s="401"/>
      <c r="B141" s="453"/>
      <c r="C141" s="429"/>
      <c r="D141" s="398"/>
      <c r="E141" s="397"/>
    </row>
    <row r="142" spans="1:5">
      <c r="A142" s="401"/>
      <c r="B142" s="453"/>
      <c r="C142" s="429"/>
      <c r="D142" s="398"/>
      <c r="E142" s="397"/>
    </row>
    <row r="143" spans="1:5">
      <c r="A143" s="401"/>
      <c r="B143" s="453"/>
      <c r="C143" s="429"/>
      <c r="D143" s="398"/>
      <c r="E143" s="397"/>
    </row>
    <row r="144" spans="1:5">
      <c r="A144" s="401"/>
      <c r="B144" s="453"/>
      <c r="C144" s="429"/>
      <c r="D144" s="398"/>
      <c r="E144" s="397"/>
    </row>
    <row r="145" spans="1:5">
      <c r="A145" s="401"/>
      <c r="B145" s="453"/>
      <c r="C145" s="429"/>
      <c r="D145" s="398"/>
      <c r="E145" s="397"/>
    </row>
    <row r="146" spans="1:5">
      <c r="A146" s="401"/>
      <c r="B146" s="453"/>
      <c r="C146" s="429"/>
      <c r="D146" s="398"/>
      <c r="E146" s="397"/>
    </row>
    <row r="147" spans="1:5">
      <c r="A147" s="401"/>
      <c r="B147" s="453"/>
      <c r="C147" s="429"/>
      <c r="D147" s="398"/>
      <c r="E147" s="397"/>
    </row>
    <row r="148" spans="1:5">
      <c r="A148" s="401"/>
      <c r="B148" s="453"/>
      <c r="C148" s="429"/>
      <c r="D148" s="398"/>
      <c r="E148" s="397"/>
    </row>
    <row r="149" spans="1:5">
      <c r="A149" s="401"/>
      <c r="B149" s="453"/>
      <c r="C149" s="429"/>
      <c r="D149" s="398"/>
      <c r="E149" s="397"/>
    </row>
    <row r="150" spans="1:5">
      <c r="A150" s="401"/>
      <c r="B150" s="453"/>
      <c r="C150" s="429"/>
      <c r="D150" s="398"/>
      <c r="E150" s="397"/>
    </row>
    <row r="151" spans="1:5">
      <c r="A151" s="401"/>
      <c r="B151" s="453"/>
      <c r="C151" s="429"/>
      <c r="D151" s="398"/>
      <c r="E151" s="397"/>
    </row>
    <row r="152" spans="1:5">
      <c r="A152" s="401"/>
      <c r="B152" s="453"/>
      <c r="C152" s="429"/>
      <c r="D152" s="398"/>
      <c r="E152" s="397"/>
    </row>
    <row r="153" spans="1:5">
      <c r="A153" s="401"/>
      <c r="B153" s="453"/>
      <c r="C153" s="429"/>
      <c r="D153" s="398"/>
      <c r="E153" s="397"/>
    </row>
    <row r="154" spans="1:5">
      <c r="A154" s="401"/>
      <c r="B154" s="453"/>
      <c r="C154" s="429"/>
      <c r="D154" s="398"/>
      <c r="E154" s="397"/>
    </row>
    <row r="155" spans="1:5">
      <c r="A155" s="401"/>
      <c r="B155" s="453"/>
      <c r="C155" s="429"/>
      <c r="D155" s="398"/>
      <c r="E155" s="397"/>
    </row>
    <row r="156" spans="1:5">
      <c r="A156" s="401"/>
      <c r="B156" s="453"/>
      <c r="C156" s="429"/>
      <c r="D156" s="398"/>
      <c r="E156" s="397"/>
    </row>
    <row r="157" spans="1:5">
      <c r="A157" s="401"/>
      <c r="B157" s="453"/>
      <c r="C157" s="429"/>
      <c r="D157" s="398"/>
      <c r="E157" s="397"/>
    </row>
    <row r="158" spans="1:5">
      <c r="A158" s="401"/>
      <c r="B158" s="453"/>
      <c r="C158" s="429"/>
      <c r="D158" s="398"/>
      <c r="E158" s="397"/>
    </row>
    <row r="159" spans="1:5">
      <c r="A159" s="401"/>
      <c r="B159" s="453"/>
      <c r="C159" s="429"/>
      <c r="D159" s="398"/>
      <c r="E159" s="397"/>
    </row>
    <row r="160" spans="1:5">
      <c r="A160" s="401"/>
      <c r="B160" s="453"/>
      <c r="C160" s="429"/>
      <c r="D160" s="398"/>
      <c r="E160" s="397"/>
    </row>
    <row r="161" spans="1:5">
      <c r="A161" s="401"/>
      <c r="B161" s="453"/>
      <c r="C161" s="429"/>
      <c r="D161" s="398"/>
      <c r="E161" s="397"/>
    </row>
    <row r="162" spans="1:5">
      <c r="A162" s="401"/>
      <c r="B162" s="453"/>
      <c r="C162" s="429"/>
      <c r="D162" s="398"/>
      <c r="E162" s="397"/>
    </row>
    <row r="163" spans="1:5">
      <c r="A163" s="401"/>
      <c r="B163" s="453"/>
      <c r="C163" s="429"/>
      <c r="D163" s="398"/>
      <c r="E163" s="397"/>
    </row>
    <row r="164" spans="1:5">
      <c r="A164" s="401"/>
      <c r="B164" s="453"/>
      <c r="C164" s="429"/>
      <c r="D164" s="398"/>
      <c r="E164" s="397"/>
    </row>
    <row r="165" spans="1:5">
      <c r="A165" s="401"/>
      <c r="B165" s="453"/>
      <c r="C165" s="429"/>
      <c r="D165" s="398"/>
      <c r="E165" s="397"/>
    </row>
    <row r="166" spans="1:5">
      <c r="A166" s="401"/>
      <c r="B166" s="453"/>
      <c r="C166" s="429"/>
      <c r="D166" s="398"/>
      <c r="E166" s="397"/>
    </row>
    <row r="167" spans="1:5">
      <c r="A167" s="401"/>
      <c r="B167" s="453"/>
      <c r="C167" s="429"/>
      <c r="D167" s="398"/>
      <c r="E167" s="397"/>
    </row>
    <row r="168" spans="1:5">
      <c r="A168" s="401"/>
      <c r="B168" s="453"/>
      <c r="C168" s="429"/>
      <c r="D168" s="398"/>
      <c r="E168" s="397"/>
    </row>
    <row r="169" spans="1:5">
      <c r="A169" s="401"/>
      <c r="B169" s="453"/>
      <c r="C169" s="429"/>
      <c r="D169" s="398"/>
      <c r="E169" s="397"/>
    </row>
    <row r="170" spans="1:5">
      <c r="A170" s="401"/>
      <c r="B170" s="453"/>
      <c r="C170" s="429"/>
      <c r="D170" s="398"/>
      <c r="E170" s="397"/>
    </row>
    <row r="171" spans="1:5">
      <c r="A171" s="401"/>
      <c r="B171" s="453"/>
      <c r="C171" s="429"/>
      <c r="D171" s="398"/>
      <c r="E171" s="397"/>
    </row>
    <row r="172" spans="1:5">
      <c r="A172" s="401"/>
      <c r="B172" s="453"/>
      <c r="C172" s="429"/>
      <c r="D172" s="398"/>
      <c r="E172" s="397"/>
    </row>
    <row r="173" spans="1:5">
      <c r="A173" s="401"/>
      <c r="B173" s="453"/>
      <c r="C173" s="429"/>
      <c r="D173" s="398"/>
      <c r="E173" s="397"/>
    </row>
    <row r="174" spans="1:5">
      <c r="A174" s="401"/>
      <c r="B174" s="453"/>
      <c r="C174" s="429"/>
      <c r="D174" s="398"/>
      <c r="E174" s="397"/>
    </row>
    <row r="175" spans="1:5">
      <c r="A175" s="401"/>
      <c r="B175" s="453"/>
      <c r="C175" s="429"/>
      <c r="D175" s="398"/>
      <c r="E175" s="397"/>
    </row>
    <row r="176" spans="1:5">
      <c r="A176" s="401"/>
      <c r="B176" s="453"/>
      <c r="C176" s="429"/>
      <c r="D176" s="398"/>
      <c r="E176" s="397"/>
    </row>
    <row r="177" spans="1:5">
      <c r="A177" s="401"/>
      <c r="B177" s="453"/>
      <c r="C177" s="429"/>
      <c r="D177" s="398"/>
      <c r="E177" s="397"/>
    </row>
    <row r="178" spans="1:5">
      <c r="A178" s="401"/>
      <c r="B178" s="453"/>
      <c r="C178" s="429"/>
      <c r="D178" s="398"/>
      <c r="E178" s="397"/>
    </row>
    <row r="179" spans="1:5">
      <c r="A179" s="401"/>
      <c r="B179" s="453"/>
      <c r="C179" s="429"/>
      <c r="D179" s="398"/>
      <c r="E179" s="397"/>
    </row>
    <row r="180" spans="1:5">
      <c r="A180" s="401"/>
      <c r="B180" s="453"/>
      <c r="C180" s="429"/>
      <c r="D180" s="398"/>
      <c r="E180" s="397"/>
    </row>
    <row r="181" spans="1:5">
      <c r="A181" s="401"/>
      <c r="B181" s="453"/>
      <c r="C181" s="429"/>
      <c r="D181" s="398"/>
      <c r="E181" s="397"/>
    </row>
    <row r="182" spans="1:5">
      <c r="A182" s="401"/>
      <c r="B182" s="453"/>
      <c r="C182" s="429"/>
      <c r="D182" s="398"/>
      <c r="E182" s="397"/>
    </row>
    <row r="183" spans="1:5">
      <c r="A183" s="401"/>
      <c r="B183" s="453"/>
      <c r="C183" s="429"/>
      <c r="D183" s="398"/>
      <c r="E183" s="397"/>
    </row>
    <row r="184" spans="1:5">
      <c r="A184" s="401"/>
      <c r="B184" s="453"/>
      <c r="C184" s="429"/>
      <c r="D184" s="398"/>
      <c r="E184" s="397"/>
    </row>
    <row r="185" spans="1:5">
      <c r="A185" s="401"/>
      <c r="B185" s="453"/>
      <c r="C185" s="429"/>
      <c r="D185" s="398"/>
      <c r="E185" s="397"/>
    </row>
    <row r="186" spans="1:5">
      <c r="A186" s="401"/>
      <c r="B186" s="453"/>
      <c r="C186" s="429"/>
      <c r="D186" s="398"/>
      <c r="E186" s="397"/>
    </row>
    <row r="187" spans="1:5">
      <c r="A187" s="401"/>
      <c r="B187" s="453"/>
      <c r="C187" s="429"/>
      <c r="D187" s="398"/>
      <c r="E187" s="397"/>
    </row>
    <row r="188" spans="1:5">
      <c r="A188" s="401"/>
      <c r="B188" s="453"/>
      <c r="C188" s="429"/>
      <c r="D188" s="398"/>
      <c r="E188" s="397"/>
    </row>
    <row r="189" spans="1:5">
      <c r="A189" s="401"/>
      <c r="B189" s="453"/>
      <c r="C189" s="429"/>
      <c r="D189" s="398"/>
      <c r="E189" s="397"/>
    </row>
    <row r="190" spans="1:5">
      <c r="A190" s="401"/>
      <c r="B190" s="453"/>
      <c r="C190" s="429"/>
      <c r="D190" s="398"/>
      <c r="E190" s="397"/>
    </row>
    <row r="191" spans="1:5">
      <c r="A191" s="401"/>
      <c r="B191" s="453"/>
      <c r="C191" s="429"/>
      <c r="D191" s="398"/>
      <c r="E191" s="397"/>
    </row>
    <row r="192" spans="1:5">
      <c r="A192" s="401"/>
      <c r="B192" s="453"/>
      <c r="C192" s="429"/>
      <c r="D192" s="398"/>
      <c r="E192" s="397"/>
    </row>
    <row r="193" spans="1:5">
      <c r="A193" s="401"/>
      <c r="B193" s="453"/>
      <c r="C193" s="429"/>
      <c r="D193" s="398"/>
      <c r="E193" s="397"/>
    </row>
    <row r="194" spans="1:5">
      <c r="A194" s="401"/>
      <c r="B194" s="453"/>
      <c r="C194" s="429"/>
      <c r="D194" s="398"/>
      <c r="E194" s="397"/>
    </row>
    <row r="195" spans="1:5">
      <c r="A195" s="401"/>
      <c r="B195" s="453"/>
      <c r="C195" s="429"/>
      <c r="D195" s="398"/>
      <c r="E195" s="397"/>
    </row>
    <row r="196" spans="1:5">
      <c r="A196" s="401"/>
      <c r="B196" s="453"/>
      <c r="C196" s="429"/>
      <c r="D196" s="398"/>
      <c r="E196" s="397"/>
    </row>
    <row r="197" spans="1:5">
      <c r="A197" s="401"/>
      <c r="B197" s="453"/>
      <c r="C197" s="429"/>
      <c r="D197" s="398"/>
      <c r="E197" s="397"/>
    </row>
    <row r="198" spans="1:5">
      <c r="A198" s="401"/>
      <c r="B198" s="453"/>
      <c r="C198" s="429"/>
      <c r="D198" s="398"/>
      <c r="E198" s="397"/>
    </row>
    <row r="199" spans="1:5">
      <c r="A199" s="401"/>
      <c r="B199" s="453"/>
      <c r="C199" s="429"/>
      <c r="D199" s="398"/>
      <c r="E199" s="397"/>
    </row>
    <row r="200" spans="1:5">
      <c r="A200" s="401"/>
      <c r="B200" s="453"/>
      <c r="C200" s="429"/>
      <c r="D200" s="398"/>
      <c r="E200" s="397"/>
    </row>
    <row r="201" spans="1:5">
      <c r="A201" s="401"/>
      <c r="B201" s="453"/>
      <c r="C201" s="429"/>
      <c r="D201" s="398"/>
      <c r="E201" s="397"/>
    </row>
    <row r="202" spans="1:5">
      <c r="A202" s="401"/>
      <c r="B202" s="453"/>
      <c r="C202" s="429"/>
      <c r="D202" s="398"/>
      <c r="E202" s="397"/>
    </row>
    <row r="203" spans="1:5">
      <c r="A203" s="401"/>
      <c r="B203" s="453"/>
      <c r="C203" s="429"/>
      <c r="D203" s="398"/>
      <c r="E203" s="397"/>
    </row>
    <row r="204" spans="1:5">
      <c r="A204" s="401"/>
      <c r="B204" s="453"/>
      <c r="C204" s="429"/>
      <c r="D204" s="398"/>
      <c r="E204" s="397"/>
    </row>
    <row r="205" spans="1:5">
      <c r="A205" s="401"/>
      <c r="B205" s="453"/>
      <c r="C205" s="429"/>
      <c r="D205" s="398"/>
      <c r="E205" s="397"/>
    </row>
    <row r="206" spans="1:5">
      <c r="A206" s="401"/>
      <c r="B206" s="453"/>
      <c r="C206" s="429"/>
      <c r="D206" s="398"/>
      <c r="E206" s="397"/>
    </row>
    <row r="207" spans="1:5">
      <c r="A207" s="401"/>
      <c r="B207" s="453"/>
      <c r="C207" s="429"/>
      <c r="D207" s="398"/>
      <c r="E207" s="397"/>
    </row>
    <row r="208" spans="1:5">
      <c r="A208" s="401"/>
      <c r="B208" s="453"/>
      <c r="C208" s="429"/>
      <c r="D208" s="398"/>
      <c r="E208" s="397"/>
    </row>
    <row r="209" spans="1:5">
      <c r="A209" s="401"/>
      <c r="B209" s="453"/>
      <c r="C209" s="429"/>
      <c r="D209" s="398"/>
      <c r="E209" s="397"/>
    </row>
    <row r="210" spans="1:5">
      <c r="A210" s="401"/>
      <c r="B210" s="453"/>
      <c r="C210" s="429"/>
      <c r="D210" s="398"/>
      <c r="E210" s="397"/>
    </row>
    <row r="211" spans="1:5">
      <c r="A211" s="401"/>
      <c r="B211" s="453"/>
      <c r="C211" s="429"/>
      <c r="D211" s="398"/>
      <c r="E211" s="397"/>
    </row>
    <row r="212" spans="1:5">
      <c r="A212" s="401"/>
      <c r="B212" s="453"/>
      <c r="C212" s="429"/>
      <c r="D212" s="398"/>
      <c r="E212" s="397"/>
    </row>
    <row r="213" spans="1:5">
      <c r="A213" s="401"/>
      <c r="B213" s="453"/>
      <c r="C213" s="429"/>
      <c r="D213" s="398"/>
      <c r="E213" s="397"/>
    </row>
    <row r="214" spans="1:5">
      <c r="A214" s="401"/>
      <c r="B214" s="453"/>
      <c r="C214" s="429"/>
      <c r="D214" s="398"/>
      <c r="E214" s="397"/>
    </row>
    <row r="215" spans="1:5">
      <c r="A215" s="401"/>
      <c r="B215" s="453"/>
      <c r="C215" s="429"/>
      <c r="D215" s="398"/>
      <c r="E215" s="397"/>
    </row>
    <row r="216" spans="1:5">
      <c r="A216" s="401"/>
      <c r="B216" s="453"/>
      <c r="C216" s="429"/>
      <c r="D216" s="398"/>
      <c r="E216" s="397"/>
    </row>
    <row r="217" spans="1:5">
      <c r="A217" s="401"/>
      <c r="B217" s="453"/>
      <c r="C217" s="429"/>
      <c r="D217" s="398"/>
      <c r="E217" s="397"/>
    </row>
    <row r="218" spans="1:5">
      <c r="A218" s="401"/>
      <c r="B218" s="453"/>
      <c r="C218" s="429"/>
      <c r="D218" s="398"/>
      <c r="E218" s="397"/>
    </row>
    <row r="219" spans="1:5">
      <c r="A219" s="401"/>
      <c r="B219" s="453"/>
      <c r="C219" s="429"/>
      <c r="D219" s="398"/>
      <c r="E219" s="397"/>
    </row>
    <row r="220" spans="1:5">
      <c r="A220" s="401"/>
      <c r="B220" s="453"/>
      <c r="C220" s="429"/>
      <c r="D220" s="398"/>
      <c r="E220" s="397"/>
    </row>
    <row r="221" spans="1:5">
      <c r="A221" s="401"/>
      <c r="B221" s="453"/>
      <c r="C221" s="429"/>
      <c r="D221" s="398"/>
      <c r="E221" s="397"/>
    </row>
    <row r="222" spans="1:5">
      <c r="A222" s="401"/>
      <c r="B222" s="453"/>
      <c r="C222" s="429"/>
      <c r="D222" s="398"/>
      <c r="E222" s="397"/>
    </row>
    <row r="223" spans="1:5">
      <c r="A223" s="401"/>
      <c r="B223" s="453"/>
      <c r="C223" s="429"/>
      <c r="D223" s="398"/>
      <c r="E223" s="397"/>
    </row>
    <row r="224" spans="1:5">
      <c r="A224" s="401"/>
      <c r="B224" s="453"/>
      <c r="C224" s="429"/>
      <c r="D224" s="398"/>
      <c r="E224" s="397"/>
    </row>
    <row r="225" spans="1:5">
      <c r="A225" s="401"/>
      <c r="B225" s="453"/>
      <c r="C225" s="429"/>
      <c r="D225" s="398"/>
      <c r="E225" s="397"/>
    </row>
    <row r="226" spans="1:5">
      <c r="A226" s="401"/>
      <c r="B226" s="453"/>
      <c r="C226" s="429"/>
      <c r="D226" s="398"/>
      <c r="E226" s="397"/>
    </row>
    <row r="227" spans="1:5">
      <c r="A227" s="401"/>
      <c r="B227" s="453"/>
      <c r="C227" s="429"/>
      <c r="D227" s="398"/>
      <c r="E227" s="397"/>
    </row>
    <row r="228" spans="1:5">
      <c r="A228" s="401"/>
      <c r="B228" s="453"/>
      <c r="C228" s="429"/>
      <c r="D228" s="398"/>
      <c r="E228" s="397"/>
    </row>
    <row r="229" spans="1:5">
      <c r="A229" s="401"/>
      <c r="B229" s="453"/>
      <c r="C229" s="429"/>
      <c r="D229" s="398"/>
      <c r="E229" s="397"/>
    </row>
    <row r="230" spans="1:5">
      <c r="A230" s="401"/>
      <c r="B230" s="453"/>
      <c r="C230" s="429"/>
      <c r="D230" s="398"/>
      <c r="E230" s="397"/>
    </row>
    <row r="231" spans="1:5">
      <c r="A231" s="401"/>
      <c r="B231" s="453"/>
      <c r="C231" s="429"/>
      <c r="D231" s="398"/>
      <c r="E231" s="397"/>
    </row>
    <row r="232" spans="1:5">
      <c r="A232" s="401"/>
      <c r="B232" s="453"/>
      <c r="C232" s="429"/>
      <c r="D232" s="398"/>
      <c r="E232" s="397"/>
    </row>
    <row r="233" spans="1:5">
      <c r="A233" s="401"/>
      <c r="B233" s="453"/>
      <c r="C233" s="429"/>
      <c r="D233" s="398"/>
      <c r="E233" s="397"/>
    </row>
    <row r="234" spans="1:5">
      <c r="A234" s="401"/>
      <c r="B234" s="453"/>
      <c r="C234" s="429"/>
      <c r="D234" s="398"/>
      <c r="E234" s="397"/>
    </row>
    <row r="235" spans="1:5">
      <c r="A235" s="401"/>
      <c r="B235" s="453"/>
      <c r="C235" s="429"/>
      <c r="D235" s="398"/>
      <c r="E235" s="397"/>
    </row>
    <row r="236" spans="1:5">
      <c r="A236" s="401"/>
      <c r="B236" s="453"/>
      <c r="C236" s="429"/>
      <c r="D236" s="398"/>
      <c r="E236" s="397"/>
    </row>
    <row r="237" spans="1:5">
      <c r="A237" s="401"/>
      <c r="B237" s="453"/>
      <c r="C237" s="429"/>
      <c r="D237" s="398"/>
      <c r="E237" s="397"/>
    </row>
    <row r="238" spans="1:5">
      <c r="A238" s="401"/>
      <c r="B238" s="453"/>
      <c r="C238" s="429"/>
      <c r="D238" s="398"/>
      <c r="E238" s="397"/>
    </row>
    <row r="239" spans="1:5">
      <c r="A239" s="401"/>
      <c r="B239" s="453"/>
      <c r="C239" s="429"/>
      <c r="D239" s="398"/>
      <c r="E239" s="397"/>
    </row>
    <row r="240" spans="1:5">
      <c r="A240" s="401"/>
      <c r="B240" s="453"/>
      <c r="C240" s="429"/>
      <c r="D240" s="398"/>
      <c r="E240" s="397"/>
    </row>
    <row r="241" spans="1:5">
      <c r="A241" s="401"/>
      <c r="B241" s="453"/>
      <c r="C241" s="429"/>
      <c r="D241" s="398"/>
      <c r="E241" s="397"/>
    </row>
    <row r="242" spans="1:5">
      <c r="A242" s="401"/>
      <c r="B242" s="453"/>
      <c r="C242" s="429"/>
      <c r="D242" s="398"/>
      <c r="E242" s="397"/>
    </row>
    <row r="243" spans="1:5">
      <c r="A243" s="401"/>
      <c r="B243" s="453"/>
      <c r="C243" s="429"/>
      <c r="D243" s="398"/>
      <c r="E243" s="397"/>
    </row>
    <row r="244" spans="1:5">
      <c r="A244" s="401"/>
      <c r="B244" s="453"/>
      <c r="C244" s="429"/>
      <c r="D244" s="398"/>
      <c r="E244" s="397"/>
    </row>
    <row r="245" spans="1:5">
      <c r="A245" s="401"/>
      <c r="B245" s="453"/>
      <c r="C245" s="429"/>
      <c r="D245" s="398"/>
      <c r="E245" s="397"/>
    </row>
    <row r="246" spans="1:5">
      <c r="A246" s="401"/>
      <c r="B246" s="453"/>
      <c r="C246" s="429"/>
      <c r="D246" s="398"/>
      <c r="E246" s="397"/>
    </row>
    <row r="247" spans="1:5">
      <c r="A247" s="401"/>
      <c r="B247" s="453"/>
      <c r="C247" s="429"/>
      <c r="D247" s="398"/>
      <c r="E247" s="397"/>
    </row>
    <row r="248" spans="1:5">
      <c r="A248" s="401"/>
      <c r="B248" s="453"/>
      <c r="C248" s="429"/>
      <c r="D248" s="398"/>
      <c r="E248" s="397"/>
    </row>
    <row r="249" spans="1:5">
      <c r="A249" s="401"/>
      <c r="B249" s="453"/>
      <c r="C249" s="429"/>
      <c r="D249" s="398"/>
      <c r="E249" s="397"/>
    </row>
    <row r="250" spans="1:5">
      <c r="A250" s="401"/>
      <c r="B250" s="453"/>
      <c r="C250" s="429"/>
      <c r="D250" s="398"/>
      <c r="E250" s="397"/>
    </row>
    <row r="251" spans="1:5">
      <c r="A251" s="401"/>
      <c r="B251" s="453"/>
      <c r="C251" s="429"/>
      <c r="D251" s="398"/>
      <c r="E251" s="397"/>
    </row>
    <row r="252" spans="1:5">
      <c r="A252" s="401"/>
      <c r="B252" s="453"/>
      <c r="C252" s="429"/>
      <c r="D252" s="398"/>
      <c r="E252" s="397"/>
    </row>
    <row r="253" spans="1:5">
      <c r="A253" s="401"/>
      <c r="B253" s="453"/>
      <c r="C253" s="429"/>
      <c r="D253" s="398"/>
      <c r="E253" s="397"/>
    </row>
    <row r="254" spans="1:5">
      <c r="A254" s="401"/>
      <c r="B254" s="453"/>
      <c r="C254" s="429"/>
      <c r="D254" s="398"/>
      <c r="E254" s="397"/>
    </row>
    <row r="255" spans="1:5">
      <c r="A255" s="401"/>
      <c r="B255" s="453"/>
      <c r="C255" s="429"/>
      <c r="D255" s="398"/>
      <c r="E255" s="397"/>
    </row>
    <row r="256" spans="1:5">
      <c r="A256" s="401"/>
      <c r="B256" s="453"/>
      <c r="C256" s="429"/>
      <c r="D256" s="398"/>
      <c r="E256" s="397"/>
    </row>
    <row r="257" spans="1:5">
      <c r="A257" s="401"/>
      <c r="B257" s="453"/>
      <c r="C257" s="429"/>
      <c r="D257" s="398"/>
      <c r="E257" s="397"/>
    </row>
    <row r="258" spans="1:5">
      <c r="A258" s="401"/>
      <c r="B258" s="453"/>
      <c r="C258" s="429"/>
      <c r="D258" s="398"/>
      <c r="E258" s="397"/>
    </row>
    <row r="259" spans="1:5">
      <c r="A259" s="401"/>
      <c r="B259" s="453"/>
      <c r="C259" s="429"/>
      <c r="D259" s="398"/>
      <c r="E259" s="397"/>
    </row>
    <row r="260" spans="1:5">
      <c r="A260" s="401"/>
      <c r="B260" s="453"/>
      <c r="C260" s="429"/>
      <c r="D260" s="398"/>
      <c r="E260" s="397"/>
    </row>
    <row r="261" spans="1:5">
      <c r="A261" s="401"/>
      <c r="B261" s="453"/>
      <c r="C261" s="429"/>
      <c r="D261" s="398"/>
      <c r="E261" s="397"/>
    </row>
    <row r="262" spans="1:5">
      <c r="A262" s="401"/>
      <c r="B262" s="453"/>
      <c r="C262" s="429"/>
      <c r="D262" s="398"/>
      <c r="E262" s="397"/>
    </row>
    <row r="263" spans="1:5">
      <c r="A263" s="401"/>
      <c r="B263" s="453"/>
      <c r="C263" s="429"/>
      <c r="D263" s="398"/>
      <c r="E263" s="397"/>
    </row>
    <row r="264" spans="1:5">
      <c r="A264" s="401"/>
      <c r="B264" s="453"/>
      <c r="C264" s="429"/>
      <c r="D264" s="398"/>
      <c r="E264" s="397"/>
    </row>
    <row r="265" spans="1:5">
      <c r="A265" s="401"/>
      <c r="B265" s="453"/>
      <c r="C265" s="429"/>
      <c r="D265" s="398"/>
      <c r="E265" s="397"/>
    </row>
    <row r="266" spans="1:5">
      <c r="A266" s="401"/>
      <c r="B266" s="453"/>
      <c r="C266" s="429"/>
      <c r="D266" s="398"/>
      <c r="E266" s="397"/>
    </row>
    <row r="267" spans="1:5">
      <c r="A267" s="401"/>
      <c r="B267" s="453"/>
      <c r="C267" s="429"/>
      <c r="D267" s="398"/>
      <c r="E267" s="397"/>
    </row>
    <row r="268" spans="1:5">
      <c r="A268" s="401"/>
      <c r="B268" s="453"/>
      <c r="C268" s="429"/>
      <c r="D268" s="398"/>
      <c r="E268" s="397"/>
    </row>
    <row r="269" spans="1:5">
      <c r="A269" s="401"/>
      <c r="B269" s="453"/>
      <c r="C269" s="429"/>
      <c r="D269" s="398"/>
      <c r="E269" s="397"/>
    </row>
    <row r="270" spans="1:5">
      <c r="A270" s="401"/>
      <c r="B270" s="453"/>
      <c r="C270" s="429"/>
      <c r="D270" s="398"/>
      <c r="E270" s="397"/>
    </row>
    <row r="271" spans="1:5">
      <c r="A271" s="401"/>
      <c r="B271" s="453"/>
      <c r="C271" s="429"/>
      <c r="D271" s="398"/>
      <c r="E271" s="397"/>
    </row>
    <row r="272" spans="1:5">
      <c r="A272" s="401"/>
      <c r="B272" s="453"/>
      <c r="C272" s="429"/>
      <c r="D272" s="398"/>
      <c r="E272" s="397"/>
    </row>
    <row r="273" spans="1:5">
      <c r="A273" s="401"/>
      <c r="B273" s="453"/>
      <c r="C273" s="429"/>
      <c r="D273" s="398"/>
      <c r="E273" s="397"/>
    </row>
    <row r="274" spans="1:5">
      <c r="A274" s="401"/>
      <c r="B274" s="453"/>
      <c r="C274" s="429"/>
      <c r="D274" s="398"/>
      <c r="E274" s="397"/>
    </row>
    <row r="275" spans="1:5">
      <c r="A275" s="401"/>
      <c r="B275" s="453"/>
      <c r="C275" s="429"/>
      <c r="D275" s="398"/>
      <c r="E275" s="397"/>
    </row>
    <row r="276" spans="1:5">
      <c r="A276" s="401"/>
      <c r="B276" s="453"/>
      <c r="C276" s="429"/>
      <c r="D276" s="398"/>
      <c r="E276" s="397"/>
    </row>
    <row r="277" spans="1:5">
      <c r="A277" s="401"/>
      <c r="B277" s="453"/>
      <c r="C277" s="429"/>
      <c r="D277" s="398"/>
      <c r="E277" s="397"/>
    </row>
    <row r="278" spans="1:5">
      <c r="A278" s="401"/>
      <c r="B278" s="453"/>
      <c r="C278" s="429"/>
      <c r="D278" s="398"/>
      <c r="E278" s="397"/>
    </row>
    <row r="279" spans="1:5">
      <c r="A279" s="401"/>
      <c r="B279" s="453"/>
      <c r="C279" s="429"/>
      <c r="D279" s="398"/>
      <c r="E279" s="397"/>
    </row>
    <row r="280" spans="1:5">
      <c r="A280" s="401"/>
      <c r="B280" s="453"/>
      <c r="C280" s="429"/>
      <c r="D280" s="398"/>
      <c r="E280" s="397"/>
    </row>
    <row r="281" spans="1:5">
      <c r="A281" s="401"/>
      <c r="B281" s="453"/>
      <c r="C281" s="429"/>
      <c r="D281" s="398"/>
      <c r="E281" s="397"/>
    </row>
    <row r="282" spans="1:5">
      <c r="A282" s="401"/>
      <c r="B282" s="453"/>
      <c r="C282" s="429"/>
      <c r="D282" s="398"/>
      <c r="E282" s="397"/>
    </row>
    <row r="283" spans="1:5">
      <c r="A283" s="401"/>
      <c r="B283" s="453"/>
      <c r="C283" s="429"/>
      <c r="D283" s="398"/>
      <c r="E283" s="397"/>
    </row>
    <row r="284" spans="1:5">
      <c r="A284" s="401"/>
      <c r="B284" s="453"/>
      <c r="C284" s="429"/>
      <c r="D284" s="398"/>
      <c r="E284" s="397"/>
    </row>
    <row r="285" spans="1:5">
      <c r="A285" s="401"/>
      <c r="B285" s="453"/>
      <c r="C285" s="429"/>
      <c r="D285" s="398"/>
      <c r="E285" s="397"/>
    </row>
    <row r="286" spans="1:5">
      <c r="A286" s="401"/>
      <c r="B286" s="453"/>
      <c r="C286" s="429"/>
      <c r="D286" s="398"/>
      <c r="E286" s="397"/>
    </row>
    <row r="287" spans="1:5">
      <c r="A287" s="401"/>
      <c r="B287" s="453"/>
      <c r="C287" s="429"/>
      <c r="D287" s="398"/>
      <c r="E287" s="397"/>
    </row>
    <row r="288" spans="1:5">
      <c r="A288" s="401"/>
      <c r="B288" s="453"/>
      <c r="C288" s="429"/>
      <c r="D288" s="398"/>
      <c r="E288" s="397"/>
    </row>
    <row r="289" spans="1:5">
      <c r="A289" s="401"/>
      <c r="B289" s="453"/>
      <c r="C289" s="429"/>
      <c r="D289" s="398"/>
      <c r="E289" s="397"/>
    </row>
    <row r="290" spans="1:5">
      <c r="A290" s="401"/>
      <c r="B290" s="453"/>
      <c r="C290" s="429"/>
      <c r="D290" s="398"/>
      <c r="E290" s="397"/>
    </row>
    <row r="291" spans="1:5">
      <c r="A291" s="401"/>
      <c r="B291" s="453"/>
      <c r="C291" s="429"/>
      <c r="D291" s="398"/>
      <c r="E291" s="397"/>
    </row>
    <row r="292" spans="1:5">
      <c r="A292" s="401"/>
      <c r="B292" s="453"/>
      <c r="C292" s="429"/>
      <c r="D292" s="398"/>
      <c r="E292" s="397"/>
    </row>
    <row r="293" spans="1:5">
      <c r="A293" s="401"/>
      <c r="B293" s="453"/>
      <c r="C293" s="429"/>
      <c r="D293" s="398"/>
      <c r="E293" s="397"/>
    </row>
    <row r="294" spans="1:5">
      <c r="A294" s="401"/>
      <c r="B294" s="453"/>
      <c r="C294" s="429"/>
      <c r="D294" s="398"/>
      <c r="E294" s="397"/>
    </row>
    <row r="295" spans="1:5">
      <c r="A295" s="401"/>
      <c r="B295" s="453"/>
      <c r="C295" s="429"/>
      <c r="D295" s="398"/>
      <c r="E295" s="397"/>
    </row>
    <row r="296" spans="1:5">
      <c r="A296" s="401"/>
      <c r="B296" s="453"/>
      <c r="C296" s="429"/>
      <c r="D296" s="398"/>
      <c r="E296" s="397"/>
    </row>
    <row r="297" spans="1:5">
      <c r="A297" s="401"/>
      <c r="B297" s="453"/>
      <c r="C297" s="429"/>
      <c r="D297" s="398"/>
      <c r="E297" s="397"/>
    </row>
    <row r="298" spans="1:5">
      <c r="A298" s="401"/>
      <c r="B298" s="453"/>
      <c r="C298" s="429"/>
      <c r="D298" s="398"/>
      <c r="E298" s="397"/>
    </row>
    <row r="299" spans="1:5">
      <c r="A299" s="401"/>
      <c r="B299" s="453"/>
      <c r="C299" s="429"/>
      <c r="D299" s="398"/>
      <c r="E299" s="397"/>
    </row>
    <row r="300" spans="1:5">
      <c r="A300" s="401"/>
      <c r="B300" s="453"/>
      <c r="C300" s="429"/>
      <c r="D300" s="398"/>
      <c r="E300" s="397"/>
    </row>
    <row r="301" spans="1:5">
      <c r="A301" s="401"/>
      <c r="B301" s="453"/>
      <c r="C301" s="429"/>
      <c r="D301" s="398"/>
      <c r="E301" s="397"/>
    </row>
    <row r="302" spans="1:5">
      <c r="A302" s="401"/>
      <c r="B302" s="453"/>
      <c r="C302" s="429"/>
      <c r="D302" s="398"/>
      <c r="E302" s="397"/>
    </row>
    <row r="303" spans="1:5">
      <c r="A303" s="401"/>
      <c r="B303" s="453"/>
      <c r="C303" s="429"/>
      <c r="D303" s="398"/>
      <c r="E303" s="397"/>
    </row>
    <row r="304" spans="1:5">
      <c r="A304" s="401"/>
      <c r="B304" s="453"/>
      <c r="C304" s="429"/>
      <c r="D304" s="398"/>
      <c r="E304" s="397"/>
    </row>
    <row r="305" spans="1:5">
      <c r="A305" s="401"/>
      <c r="B305" s="453"/>
      <c r="C305" s="429"/>
      <c r="D305" s="398"/>
      <c r="E305" s="397"/>
    </row>
    <row r="306" spans="1:5">
      <c r="A306" s="401"/>
      <c r="B306" s="453"/>
      <c r="C306" s="429"/>
      <c r="D306" s="398"/>
      <c r="E306" s="397"/>
    </row>
    <row r="307" spans="1:5">
      <c r="A307" s="401"/>
      <c r="B307" s="453"/>
      <c r="C307" s="429"/>
      <c r="D307" s="398"/>
      <c r="E307" s="397"/>
    </row>
    <row r="308" spans="1:5">
      <c r="A308" s="401"/>
      <c r="B308" s="453"/>
      <c r="C308" s="429"/>
      <c r="D308" s="398"/>
      <c r="E308" s="397"/>
    </row>
    <row r="309" spans="1:5">
      <c r="A309" s="401"/>
      <c r="B309" s="453"/>
      <c r="C309" s="429"/>
      <c r="D309" s="398"/>
      <c r="E309" s="397"/>
    </row>
    <row r="310" spans="1:5">
      <c r="A310" s="401"/>
      <c r="B310" s="453"/>
      <c r="C310" s="429"/>
      <c r="D310" s="398"/>
      <c r="E310" s="397"/>
    </row>
    <row r="311" spans="1:5">
      <c r="A311" s="401"/>
      <c r="B311" s="453"/>
      <c r="C311" s="429"/>
      <c r="D311" s="398"/>
      <c r="E311" s="397"/>
    </row>
    <row r="312" spans="1:5">
      <c r="A312" s="401"/>
      <c r="B312" s="453"/>
      <c r="C312" s="429"/>
      <c r="D312" s="398"/>
      <c r="E312" s="397"/>
    </row>
    <row r="313" spans="1:5">
      <c r="A313" s="401"/>
      <c r="B313" s="453"/>
      <c r="C313" s="429"/>
      <c r="D313" s="398"/>
      <c r="E313" s="397"/>
    </row>
    <row r="314" spans="1:5">
      <c r="A314" s="401"/>
      <c r="B314" s="453"/>
      <c r="C314" s="429"/>
      <c r="D314" s="398"/>
      <c r="E314" s="397"/>
    </row>
    <row r="315" spans="1:5">
      <c r="A315" s="401"/>
      <c r="B315" s="453"/>
      <c r="C315" s="429"/>
      <c r="D315" s="398"/>
      <c r="E315" s="397"/>
    </row>
    <row r="316" spans="1:5">
      <c r="A316" s="401"/>
      <c r="B316" s="453"/>
      <c r="C316" s="429"/>
      <c r="D316" s="398"/>
      <c r="E316" s="397"/>
    </row>
    <row r="317" spans="1:5">
      <c r="A317" s="401"/>
      <c r="B317" s="453"/>
      <c r="C317" s="429"/>
      <c r="D317" s="398"/>
      <c r="E317" s="397"/>
    </row>
    <row r="318" spans="1:5">
      <c r="A318" s="401"/>
      <c r="B318" s="453"/>
      <c r="C318" s="429"/>
      <c r="D318" s="398"/>
      <c r="E318" s="397"/>
    </row>
    <row r="319" spans="1:5">
      <c r="A319" s="401"/>
      <c r="B319" s="453"/>
      <c r="C319" s="429"/>
      <c r="D319" s="398"/>
      <c r="E319" s="397"/>
    </row>
    <row r="320" spans="1:5">
      <c r="A320" s="401"/>
      <c r="B320" s="453"/>
      <c r="C320" s="429"/>
      <c r="D320" s="398"/>
      <c r="E320" s="397"/>
    </row>
    <row r="321" spans="1:5">
      <c r="A321" s="401"/>
      <c r="B321" s="453"/>
      <c r="C321" s="429"/>
      <c r="D321" s="398"/>
      <c r="E321" s="397"/>
    </row>
    <row r="322" spans="1:5">
      <c r="A322" s="401"/>
      <c r="B322" s="453"/>
      <c r="C322" s="429"/>
      <c r="D322" s="398"/>
      <c r="E322" s="397"/>
    </row>
    <row r="323" spans="1:5">
      <c r="A323" s="401"/>
      <c r="B323" s="453"/>
      <c r="C323" s="429"/>
      <c r="D323" s="398"/>
      <c r="E323" s="397"/>
    </row>
    <row r="324" spans="1:5">
      <c r="A324" s="401"/>
      <c r="B324" s="453"/>
      <c r="C324" s="429"/>
      <c r="D324" s="398"/>
      <c r="E324" s="397"/>
    </row>
    <row r="325" spans="1:5">
      <c r="A325" s="401"/>
      <c r="B325" s="453"/>
      <c r="C325" s="429"/>
      <c r="D325" s="398"/>
      <c r="E325" s="397"/>
    </row>
    <row r="326" spans="1:5">
      <c r="A326" s="401"/>
      <c r="B326" s="453"/>
      <c r="C326" s="429"/>
      <c r="D326" s="398"/>
      <c r="E326" s="397"/>
    </row>
    <row r="327" spans="1:5">
      <c r="A327" s="401"/>
      <c r="B327" s="453"/>
      <c r="C327" s="429"/>
      <c r="D327" s="398"/>
      <c r="E327" s="397"/>
    </row>
    <row r="328" spans="1:5">
      <c r="A328" s="401"/>
      <c r="B328" s="453"/>
      <c r="C328" s="429"/>
      <c r="D328" s="398"/>
      <c r="E328" s="397"/>
    </row>
    <row r="329" spans="1:5">
      <c r="A329" s="401"/>
      <c r="B329" s="453"/>
      <c r="C329" s="429"/>
      <c r="D329" s="398"/>
      <c r="E329" s="397"/>
    </row>
    <row r="330" spans="1:5">
      <c r="A330" s="401"/>
      <c r="B330" s="453"/>
      <c r="C330" s="429"/>
      <c r="D330" s="398"/>
      <c r="E330" s="397"/>
    </row>
    <row r="331" spans="1:5">
      <c r="A331" s="401"/>
      <c r="B331" s="453"/>
      <c r="C331" s="429"/>
      <c r="D331" s="398"/>
      <c r="E331" s="397"/>
    </row>
    <row r="332" spans="1:5">
      <c r="A332" s="401"/>
      <c r="B332" s="453"/>
      <c r="C332" s="429"/>
      <c r="D332" s="398"/>
      <c r="E332" s="397"/>
    </row>
    <row r="333" spans="1:5">
      <c r="A333" s="401"/>
      <c r="B333" s="453"/>
      <c r="C333" s="429"/>
      <c r="D333" s="398"/>
      <c r="E333" s="397"/>
    </row>
    <row r="334" spans="1:5">
      <c r="A334" s="401"/>
      <c r="B334" s="453"/>
      <c r="C334" s="429"/>
      <c r="D334" s="398"/>
      <c r="E334" s="397"/>
    </row>
    <row r="335" spans="1:5">
      <c r="A335" s="401"/>
      <c r="B335" s="453"/>
      <c r="C335" s="429"/>
      <c r="D335" s="398"/>
      <c r="E335" s="397"/>
    </row>
    <row r="336" spans="1:5">
      <c r="A336" s="401"/>
      <c r="B336" s="453"/>
      <c r="C336" s="429"/>
      <c r="D336" s="398"/>
      <c r="E336" s="397"/>
    </row>
    <row r="337" spans="1:5">
      <c r="A337" s="401"/>
      <c r="B337" s="453"/>
      <c r="C337" s="429"/>
      <c r="D337" s="398"/>
      <c r="E337" s="397"/>
    </row>
    <row r="338" spans="1:5">
      <c r="A338" s="401"/>
      <c r="B338" s="453"/>
      <c r="C338" s="429"/>
      <c r="D338" s="398"/>
      <c r="E338" s="397"/>
    </row>
    <row r="339" spans="1:5">
      <c r="A339" s="401"/>
      <c r="B339" s="453"/>
      <c r="C339" s="429"/>
      <c r="D339" s="398"/>
      <c r="E339" s="397"/>
    </row>
    <row r="340" spans="1:5">
      <c r="A340" s="401"/>
      <c r="B340" s="453"/>
      <c r="C340" s="429"/>
      <c r="D340" s="398"/>
      <c r="E340" s="397"/>
    </row>
    <row r="341" spans="1:5">
      <c r="A341" s="401"/>
      <c r="B341" s="453"/>
      <c r="C341" s="429"/>
      <c r="D341" s="398"/>
      <c r="E341" s="397"/>
    </row>
    <row r="342" spans="1:5">
      <c r="A342" s="401"/>
      <c r="B342" s="453"/>
      <c r="C342" s="429"/>
      <c r="D342" s="398"/>
      <c r="E342" s="397"/>
    </row>
    <row r="343" spans="1:5">
      <c r="A343" s="401"/>
      <c r="B343" s="453"/>
      <c r="C343" s="429"/>
      <c r="D343" s="398"/>
      <c r="E343" s="397"/>
    </row>
    <row r="344" spans="1:5">
      <c r="A344" s="401"/>
      <c r="B344" s="453"/>
      <c r="C344" s="429"/>
      <c r="D344" s="398"/>
      <c r="E344" s="397"/>
    </row>
    <row r="345" spans="1:5">
      <c r="A345" s="401"/>
      <c r="B345" s="453"/>
      <c r="C345" s="429"/>
      <c r="D345" s="398"/>
      <c r="E345" s="397"/>
    </row>
    <row r="346" spans="1:5">
      <c r="A346" s="401"/>
      <c r="B346" s="453"/>
      <c r="C346" s="429"/>
      <c r="D346" s="398"/>
      <c r="E346" s="397"/>
    </row>
    <row r="347" spans="1:5">
      <c r="A347" s="401"/>
      <c r="B347" s="453"/>
      <c r="C347" s="429"/>
      <c r="D347" s="398"/>
      <c r="E347" s="397"/>
    </row>
    <row r="348" spans="1:5">
      <c r="A348" s="401"/>
      <c r="B348" s="453"/>
      <c r="C348" s="429"/>
      <c r="D348" s="398"/>
      <c r="E348" s="397"/>
    </row>
    <row r="349" spans="1:5">
      <c r="A349" s="401"/>
      <c r="B349" s="453"/>
      <c r="C349" s="429"/>
      <c r="D349" s="398"/>
      <c r="E349" s="397"/>
    </row>
    <row r="350" spans="1:5">
      <c r="A350" s="401"/>
      <c r="B350" s="453"/>
      <c r="C350" s="429"/>
      <c r="D350" s="398"/>
      <c r="E350" s="397"/>
    </row>
    <row r="351" spans="1:5">
      <c r="A351" s="401"/>
      <c r="B351" s="453"/>
      <c r="C351" s="429"/>
      <c r="D351" s="398"/>
      <c r="E351" s="397"/>
    </row>
    <row r="352" spans="1:5">
      <c r="A352" s="401"/>
      <c r="B352" s="453"/>
      <c r="C352" s="429"/>
      <c r="D352" s="398"/>
      <c r="E352" s="397"/>
    </row>
    <row r="353" spans="1:5">
      <c r="A353" s="401"/>
      <c r="B353" s="453"/>
      <c r="C353" s="429"/>
      <c r="D353" s="398"/>
      <c r="E353" s="397"/>
    </row>
    <row r="354" spans="1:5">
      <c r="A354" s="401"/>
      <c r="B354" s="453"/>
      <c r="C354" s="429"/>
      <c r="D354" s="398"/>
      <c r="E354" s="397"/>
    </row>
    <row r="355" spans="1:5">
      <c r="A355" s="401"/>
      <c r="B355" s="453"/>
      <c r="C355" s="429"/>
      <c r="D355" s="398"/>
      <c r="E355" s="397"/>
    </row>
    <row r="356" spans="1:5">
      <c r="A356" s="401"/>
      <c r="B356" s="453"/>
      <c r="C356" s="429"/>
      <c r="D356" s="398"/>
      <c r="E356" s="397"/>
    </row>
    <row r="357" spans="1:5">
      <c r="A357" s="401"/>
      <c r="B357" s="453"/>
      <c r="C357" s="429"/>
      <c r="D357" s="398"/>
      <c r="E357" s="397"/>
    </row>
    <row r="358" spans="1:5">
      <c r="A358" s="401"/>
      <c r="B358" s="453"/>
      <c r="C358" s="429"/>
      <c r="D358" s="398"/>
      <c r="E358" s="397"/>
    </row>
    <row r="359" spans="1:5">
      <c r="A359" s="401"/>
      <c r="B359" s="453"/>
      <c r="C359" s="429"/>
      <c r="D359" s="398"/>
      <c r="E359" s="397"/>
    </row>
    <row r="360" spans="1:5">
      <c r="A360" s="401"/>
      <c r="B360" s="453"/>
      <c r="C360" s="429"/>
      <c r="D360" s="398"/>
      <c r="E360" s="397"/>
    </row>
    <row r="361" spans="1:5">
      <c r="A361" s="401"/>
      <c r="B361" s="453"/>
      <c r="C361" s="429"/>
      <c r="D361" s="398"/>
      <c r="E361" s="397"/>
    </row>
    <row r="362" spans="1:5">
      <c r="A362" s="401"/>
      <c r="B362" s="453"/>
      <c r="C362" s="429"/>
      <c r="D362" s="398"/>
      <c r="E362" s="397"/>
    </row>
    <row r="363" spans="1:5">
      <c r="A363" s="401"/>
      <c r="B363" s="453"/>
      <c r="C363" s="429"/>
      <c r="D363" s="398"/>
      <c r="E363" s="397"/>
    </row>
    <row r="364" spans="1:5">
      <c r="A364" s="401"/>
      <c r="B364" s="453"/>
      <c r="C364" s="429"/>
      <c r="D364" s="398"/>
      <c r="E364" s="397"/>
    </row>
    <row r="365" spans="1:5">
      <c r="A365" s="401"/>
      <c r="B365" s="453"/>
      <c r="C365" s="429"/>
      <c r="D365" s="398"/>
      <c r="E365" s="397"/>
    </row>
    <row r="366" spans="1:5">
      <c r="A366" s="401"/>
      <c r="B366" s="453"/>
      <c r="C366" s="429"/>
      <c r="D366" s="398"/>
      <c r="E366" s="397"/>
    </row>
    <row r="367" spans="1:5">
      <c r="A367" s="401"/>
      <c r="B367" s="453"/>
      <c r="C367" s="429"/>
      <c r="D367" s="398"/>
      <c r="E367" s="397"/>
    </row>
    <row r="368" spans="1:5">
      <c r="A368" s="401"/>
      <c r="B368" s="453"/>
      <c r="C368" s="429"/>
      <c r="D368" s="398"/>
      <c r="E368" s="397"/>
    </row>
    <row r="369" spans="1:5">
      <c r="A369" s="401"/>
      <c r="B369" s="453"/>
      <c r="C369" s="429"/>
      <c r="D369" s="398"/>
      <c r="E369" s="397"/>
    </row>
    <row r="370" spans="1:5">
      <c r="A370" s="401"/>
      <c r="B370" s="453"/>
      <c r="C370" s="429"/>
      <c r="D370" s="398"/>
      <c r="E370" s="397"/>
    </row>
    <row r="371" spans="1:5">
      <c r="A371" s="401"/>
      <c r="B371" s="453"/>
      <c r="C371" s="429"/>
      <c r="D371" s="398"/>
      <c r="E371" s="397"/>
    </row>
    <row r="372" spans="1:5">
      <c r="A372" s="401"/>
      <c r="B372" s="453"/>
      <c r="C372" s="429"/>
      <c r="D372" s="398"/>
      <c r="E372" s="397"/>
    </row>
    <row r="373" spans="1:5">
      <c r="A373" s="401"/>
      <c r="B373" s="453"/>
      <c r="C373" s="429"/>
      <c r="D373" s="398"/>
      <c r="E373" s="397"/>
    </row>
    <row r="374" spans="1:5">
      <c r="A374" s="401"/>
      <c r="B374" s="453"/>
      <c r="C374" s="429"/>
      <c r="D374" s="398"/>
      <c r="E374" s="397"/>
    </row>
    <row r="375" spans="1:5">
      <c r="A375" s="401"/>
      <c r="B375" s="453"/>
      <c r="C375" s="429"/>
      <c r="D375" s="398"/>
      <c r="E375" s="397"/>
    </row>
    <row r="376" spans="1:5">
      <c r="A376" s="401"/>
      <c r="B376" s="453"/>
      <c r="C376" s="429"/>
      <c r="D376" s="398"/>
      <c r="E376" s="397"/>
    </row>
    <row r="377" spans="1:5">
      <c r="A377" s="401"/>
      <c r="B377" s="453"/>
      <c r="C377" s="429"/>
      <c r="D377" s="398"/>
      <c r="E377" s="397"/>
    </row>
    <row r="378" spans="1:5">
      <c r="A378" s="401"/>
      <c r="B378" s="453"/>
      <c r="C378" s="429"/>
      <c r="D378" s="398"/>
      <c r="E378" s="397"/>
    </row>
    <row r="379" spans="1:5">
      <c r="A379" s="401"/>
      <c r="B379" s="453"/>
      <c r="C379" s="429"/>
      <c r="D379" s="398"/>
      <c r="E379" s="397"/>
    </row>
    <row r="380" spans="1:5">
      <c r="A380" s="401"/>
      <c r="B380" s="453"/>
      <c r="C380" s="429"/>
      <c r="D380" s="398"/>
      <c r="E380" s="397"/>
    </row>
    <row r="381" spans="1:5">
      <c r="A381" s="401"/>
      <c r="B381" s="453"/>
      <c r="C381" s="429"/>
      <c r="D381" s="398"/>
      <c r="E381" s="397"/>
    </row>
    <row r="382" spans="1:5">
      <c r="A382" s="401"/>
      <c r="B382" s="453"/>
      <c r="C382" s="429"/>
      <c r="D382" s="398"/>
      <c r="E382" s="397"/>
    </row>
    <row r="383" spans="1:5">
      <c r="A383" s="401"/>
      <c r="B383" s="453"/>
      <c r="C383" s="429"/>
      <c r="D383" s="398"/>
      <c r="E383" s="397"/>
    </row>
    <row r="384" spans="1:5">
      <c r="A384" s="401"/>
      <c r="B384" s="453"/>
      <c r="C384" s="429"/>
      <c r="D384" s="398"/>
      <c r="E384" s="397"/>
    </row>
    <row r="385" spans="1:5">
      <c r="A385" s="401"/>
      <c r="B385" s="453"/>
      <c r="C385" s="429"/>
      <c r="D385" s="398"/>
      <c r="E385" s="397"/>
    </row>
    <row r="386" spans="1:5">
      <c r="A386" s="401"/>
      <c r="B386" s="453"/>
      <c r="C386" s="429"/>
      <c r="D386" s="398"/>
      <c r="E386" s="397"/>
    </row>
    <row r="387" spans="1:5">
      <c r="A387" s="401"/>
      <c r="B387" s="453"/>
      <c r="C387" s="429"/>
      <c r="D387" s="398"/>
      <c r="E387" s="397"/>
    </row>
    <row r="388" spans="1:5">
      <c r="A388" s="401"/>
      <c r="B388" s="453"/>
      <c r="C388" s="429"/>
      <c r="D388" s="398"/>
      <c r="E388" s="397"/>
    </row>
    <row r="389" spans="1:5">
      <c r="A389" s="401"/>
      <c r="B389" s="453"/>
      <c r="C389" s="429"/>
      <c r="D389" s="398"/>
      <c r="E389" s="397"/>
    </row>
    <row r="390" spans="1:5">
      <c r="A390" s="401"/>
      <c r="B390" s="453"/>
      <c r="C390" s="429"/>
      <c r="D390" s="398"/>
      <c r="E390" s="397"/>
    </row>
    <row r="391" spans="1:5">
      <c r="A391" s="401"/>
      <c r="B391" s="453"/>
      <c r="C391" s="429"/>
      <c r="D391" s="398"/>
      <c r="E391" s="397"/>
    </row>
    <row r="392" spans="1:5">
      <c r="A392" s="401"/>
      <c r="B392" s="453"/>
      <c r="C392" s="429"/>
      <c r="D392" s="398"/>
      <c r="E392" s="397"/>
    </row>
    <row r="393" spans="1:5">
      <c r="A393" s="401"/>
      <c r="B393" s="453"/>
      <c r="C393" s="429"/>
      <c r="D393" s="398"/>
      <c r="E393" s="397"/>
    </row>
    <row r="394" spans="1:5">
      <c r="A394" s="401"/>
      <c r="B394" s="453"/>
      <c r="C394" s="429"/>
      <c r="D394" s="398"/>
      <c r="E394" s="397"/>
    </row>
    <row r="395" spans="1:5">
      <c r="A395" s="401"/>
      <c r="B395" s="453"/>
      <c r="C395" s="429"/>
      <c r="D395" s="398"/>
      <c r="E395" s="397"/>
    </row>
    <row r="396" spans="1:5">
      <c r="A396" s="401"/>
      <c r="B396" s="453"/>
      <c r="C396" s="429"/>
      <c r="D396" s="398"/>
      <c r="E396" s="397"/>
    </row>
    <row r="397" spans="1:5">
      <c r="A397" s="401"/>
      <c r="B397" s="453"/>
      <c r="C397" s="429"/>
      <c r="D397" s="398"/>
      <c r="E397" s="397"/>
    </row>
    <row r="398" spans="1:5">
      <c r="A398" s="401"/>
      <c r="B398" s="453"/>
      <c r="C398" s="429"/>
      <c r="D398" s="398"/>
      <c r="E398" s="397"/>
    </row>
    <row r="399" spans="1:5">
      <c r="A399" s="401"/>
      <c r="B399" s="453"/>
      <c r="C399" s="429"/>
      <c r="D399" s="398"/>
      <c r="E399" s="397"/>
    </row>
    <row r="400" spans="1:5">
      <c r="A400" s="401"/>
      <c r="B400" s="453"/>
      <c r="C400" s="429"/>
      <c r="D400" s="398"/>
      <c r="E400" s="397"/>
    </row>
    <row r="401" spans="1:5">
      <c r="A401" s="401"/>
      <c r="B401" s="453"/>
      <c r="C401" s="429"/>
      <c r="D401" s="398"/>
      <c r="E401" s="397"/>
    </row>
    <row r="402" spans="1:5">
      <c r="A402" s="401"/>
      <c r="B402" s="453"/>
      <c r="C402" s="429"/>
      <c r="D402" s="398"/>
      <c r="E402" s="397"/>
    </row>
    <row r="403" spans="1:5">
      <c r="A403" s="401"/>
      <c r="B403" s="453"/>
      <c r="C403" s="429"/>
      <c r="D403" s="398"/>
      <c r="E403" s="397"/>
    </row>
    <row r="404" spans="1:5">
      <c r="A404" s="401"/>
      <c r="B404" s="453"/>
      <c r="C404" s="429"/>
      <c r="D404" s="398"/>
      <c r="E404" s="397"/>
    </row>
    <row r="405" spans="1:5">
      <c r="A405" s="401"/>
      <c r="B405" s="453"/>
      <c r="C405" s="429"/>
      <c r="D405" s="398"/>
      <c r="E405" s="397"/>
    </row>
    <row r="406" spans="1:5">
      <c r="A406" s="401"/>
      <c r="B406" s="453"/>
      <c r="C406" s="429"/>
      <c r="D406" s="398"/>
      <c r="E406" s="397"/>
    </row>
    <row r="407" spans="1:5">
      <c r="A407" s="401"/>
      <c r="B407" s="453"/>
      <c r="C407" s="429"/>
      <c r="D407" s="398"/>
      <c r="E407" s="397"/>
    </row>
    <row r="408" spans="1:5">
      <c r="A408" s="401"/>
      <c r="B408" s="453"/>
      <c r="C408" s="429"/>
      <c r="D408" s="398"/>
      <c r="E408" s="397"/>
    </row>
    <row r="409" spans="1:5">
      <c r="A409" s="401"/>
      <c r="B409" s="453"/>
      <c r="C409" s="429"/>
      <c r="D409" s="398"/>
      <c r="E409" s="397"/>
    </row>
    <row r="410" spans="1:5">
      <c r="A410" s="401"/>
      <c r="B410" s="453"/>
      <c r="C410" s="429"/>
      <c r="D410" s="398"/>
      <c r="E410" s="397"/>
    </row>
    <row r="411" spans="1:5">
      <c r="A411" s="401"/>
      <c r="B411" s="453"/>
      <c r="C411" s="429"/>
      <c r="D411" s="398"/>
      <c r="E411" s="397"/>
    </row>
    <row r="412" spans="1:5">
      <c r="A412" s="401"/>
      <c r="B412" s="453"/>
      <c r="C412" s="429"/>
      <c r="D412" s="398"/>
      <c r="E412" s="397"/>
    </row>
    <row r="413" spans="1:5">
      <c r="A413" s="401"/>
      <c r="B413" s="453"/>
      <c r="C413" s="429"/>
      <c r="D413" s="398"/>
      <c r="E413" s="397"/>
    </row>
    <row r="414" spans="1:5">
      <c r="A414" s="401"/>
      <c r="B414" s="453"/>
      <c r="C414" s="429"/>
      <c r="D414" s="398"/>
      <c r="E414" s="397"/>
    </row>
    <row r="415" spans="1:5">
      <c r="A415" s="401"/>
      <c r="B415" s="453"/>
      <c r="C415" s="429"/>
      <c r="D415" s="398"/>
      <c r="E415" s="397"/>
    </row>
    <row r="416" spans="1:5">
      <c r="A416" s="401"/>
      <c r="B416" s="453"/>
      <c r="C416" s="429"/>
      <c r="D416" s="398"/>
      <c r="E416" s="397"/>
    </row>
    <row r="417" spans="1:5">
      <c r="A417" s="401"/>
      <c r="B417" s="453"/>
      <c r="C417" s="429"/>
      <c r="D417" s="398"/>
      <c r="E417" s="397"/>
    </row>
    <row r="418" spans="1:5">
      <c r="A418" s="401"/>
      <c r="B418" s="453"/>
      <c r="C418" s="429"/>
      <c r="D418" s="398"/>
      <c r="E418" s="397"/>
    </row>
    <row r="419" spans="1:5">
      <c r="A419" s="401"/>
      <c r="B419" s="453"/>
      <c r="C419" s="429"/>
      <c r="D419" s="398"/>
      <c r="E419" s="397"/>
    </row>
    <row r="420" spans="1:5">
      <c r="A420" s="401"/>
      <c r="B420" s="453"/>
      <c r="C420" s="429"/>
      <c r="D420" s="398"/>
      <c r="E420" s="397"/>
    </row>
    <row r="421" spans="1:5">
      <c r="A421" s="401"/>
      <c r="B421" s="453"/>
      <c r="C421" s="429"/>
      <c r="D421" s="398"/>
      <c r="E421" s="397"/>
    </row>
    <row r="422" spans="1:5">
      <c r="A422" s="401"/>
      <c r="B422" s="453"/>
      <c r="C422" s="429"/>
      <c r="D422" s="398"/>
      <c r="E422" s="397"/>
    </row>
    <row r="423" spans="1:5">
      <c r="A423" s="401"/>
      <c r="B423" s="453"/>
      <c r="C423" s="429"/>
      <c r="D423" s="398"/>
      <c r="E423" s="397"/>
    </row>
    <row r="424" spans="1:5">
      <c r="A424" s="401"/>
      <c r="B424" s="453"/>
      <c r="C424" s="429"/>
      <c r="D424" s="398"/>
      <c r="E424" s="397"/>
    </row>
    <row r="425" spans="1:5">
      <c r="A425" s="401"/>
      <c r="B425" s="453"/>
      <c r="C425" s="429"/>
      <c r="D425" s="398"/>
      <c r="E425" s="397"/>
    </row>
    <row r="426" spans="1:5">
      <c r="A426" s="401"/>
      <c r="B426" s="453"/>
      <c r="C426" s="429"/>
      <c r="D426" s="398"/>
      <c r="E426" s="397"/>
    </row>
    <row r="427" spans="1:5">
      <c r="A427" s="401"/>
      <c r="B427" s="453"/>
      <c r="C427" s="429"/>
      <c r="D427" s="398"/>
      <c r="E427" s="397"/>
    </row>
    <row r="428" spans="1:5">
      <c r="A428" s="401"/>
      <c r="B428" s="453"/>
      <c r="C428" s="429"/>
      <c r="D428" s="398"/>
      <c r="E428" s="397"/>
    </row>
    <row r="429" spans="1:5">
      <c r="A429" s="401"/>
      <c r="B429" s="453"/>
      <c r="C429" s="429"/>
      <c r="D429" s="398"/>
      <c r="E429" s="397"/>
    </row>
    <row r="430" spans="1:5">
      <c r="A430" s="401"/>
      <c r="B430" s="453"/>
      <c r="C430" s="429"/>
      <c r="D430" s="398"/>
      <c r="E430" s="397"/>
    </row>
    <row r="431" spans="1:5">
      <c r="A431" s="401"/>
      <c r="B431" s="453"/>
      <c r="C431" s="429"/>
      <c r="D431" s="398"/>
      <c r="E431" s="397"/>
    </row>
    <row r="432" spans="1:5">
      <c r="A432" s="401"/>
      <c r="B432" s="453"/>
      <c r="C432" s="429"/>
      <c r="D432" s="398"/>
      <c r="E432" s="397"/>
    </row>
    <row r="433" spans="1:5">
      <c r="A433" s="401"/>
      <c r="B433" s="453"/>
      <c r="C433" s="429"/>
      <c r="D433" s="398"/>
      <c r="E433" s="397"/>
    </row>
    <row r="434" spans="1:5">
      <c r="A434" s="401"/>
      <c r="B434" s="453"/>
      <c r="C434" s="429"/>
      <c r="D434" s="398"/>
      <c r="E434" s="397"/>
    </row>
    <row r="435" spans="1:5">
      <c r="A435" s="401"/>
      <c r="B435" s="453"/>
      <c r="C435" s="429"/>
      <c r="D435" s="398"/>
      <c r="E435" s="397"/>
    </row>
    <row r="436" spans="1:5">
      <c r="A436" s="401"/>
      <c r="B436" s="453"/>
      <c r="C436" s="429"/>
      <c r="D436" s="398"/>
      <c r="E436" s="397"/>
    </row>
    <row r="437" spans="1:5">
      <c r="A437" s="401"/>
      <c r="B437" s="453"/>
      <c r="C437" s="429"/>
      <c r="D437" s="398"/>
      <c r="E437" s="397"/>
    </row>
    <row r="438" spans="1:5">
      <c r="A438" s="401"/>
      <c r="B438" s="453"/>
      <c r="C438" s="429"/>
      <c r="D438" s="398"/>
      <c r="E438" s="397"/>
    </row>
    <row r="439" spans="1:5">
      <c r="A439" s="401"/>
      <c r="B439" s="453"/>
      <c r="C439" s="429"/>
      <c r="D439" s="398"/>
      <c r="E439" s="397"/>
    </row>
    <row r="440" spans="1:5">
      <c r="A440" s="401"/>
      <c r="B440" s="453"/>
      <c r="C440" s="429"/>
      <c r="D440" s="398"/>
      <c r="E440" s="397"/>
    </row>
    <row r="441" spans="1:5">
      <c r="A441" s="401"/>
      <c r="B441" s="453"/>
      <c r="C441" s="429"/>
      <c r="D441" s="398"/>
      <c r="E441" s="397"/>
    </row>
    <row r="442" spans="1:5">
      <c r="A442" s="401"/>
      <c r="B442" s="453"/>
      <c r="C442" s="429"/>
      <c r="D442" s="398"/>
      <c r="E442" s="397"/>
    </row>
    <row r="443" spans="1:5">
      <c r="A443" s="401"/>
      <c r="B443" s="453"/>
      <c r="C443" s="429"/>
      <c r="D443" s="398"/>
      <c r="E443" s="397"/>
    </row>
    <row r="444" spans="1:5">
      <c r="A444" s="401"/>
      <c r="B444" s="453"/>
      <c r="C444" s="429"/>
      <c r="D444" s="398"/>
      <c r="E444" s="397"/>
    </row>
    <row r="445" spans="1:5">
      <c r="A445" s="401"/>
      <c r="B445" s="453"/>
      <c r="C445" s="429"/>
      <c r="D445" s="398"/>
      <c r="E445" s="397"/>
    </row>
    <row r="446" spans="1:5">
      <c r="A446" s="401"/>
      <c r="B446" s="453"/>
      <c r="C446" s="429"/>
      <c r="D446" s="398"/>
      <c r="E446" s="397"/>
    </row>
    <row r="447" spans="1:5">
      <c r="A447" s="401"/>
      <c r="B447" s="453"/>
      <c r="C447" s="429"/>
      <c r="D447" s="398"/>
      <c r="E447" s="397"/>
    </row>
    <row r="448" spans="1:5">
      <c r="A448" s="401"/>
      <c r="B448" s="453"/>
      <c r="C448" s="429"/>
      <c r="D448" s="398"/>
      <c r="E448" s="397"/>
    </row>
    <row r="449" spans="1:5">
      <c r="A449" s="401"/>
      <c r="B449" s="453"/>
      <c r="C449" s="429"/>
      <c r="D449" s="398"/>
      <c r="E449" s="397"/>
    </row>
    <row r="450" spans="1:5">
      <c r="A450" s="401"/>
      <c r="B450" s="453"/>
      <c r="C450" s="429"/>
      <c r="D450" s="398"/>
      <c r="E450" s="397"/>
    </row>
    <row r="451" spans="1:5">
      <c r="A451" s="401"/>
      <c r="B451" s="453"/>
      <c r="C451" s="429"/>
      <c r="D451" s="398"/>
      <c r="E451" s="397"/>
    </row>
    <row r="452" spans="1:5">
      <c r="A452" s="401"/>
      <c r="B452" s="453"/>
      <c r="C452" s="429"/>
      <c r="D452" s="398"/>
      <c r="E452" s="397"/>
    </row>
    <row r="453" spans="1:5">
      <c r="A453" s="401"/>
      <c r="B453" s="453"/>
      <c r="C453" s="429"/>
      <c r="D453" s="398"/>
      <c r="E453" s="397"/>
    </row>
    <row r="454" spans="1:5">
      <c r="A454" s="401"/>
      <c r="B454" s="453"/>
      <c r="C454" s="429"/>
      <c r="D454" s="398"/>
      <c r="E454" s="397"/>
    </row>
    <row r="455" spans="1:5">
      <c r="A455" s="401"/>
      <c r="B455" s="453"/>
      <c r="C455" s="429"/>
      <c r="D455" s="398"/>
      <c r="E455" s="397"/>
    </row>
    <row r="456" spans="1:5">
      <c r="A456" s="401"/>
      <c r="B456" s="453"/>
      <c r="C456" s="429"/>
      <c r="D456" s="398"/>
      <c r="E456" s="397"/>
    </row>
    <row r="457" spans="1:5">
      <c r="A457" s="401"/>
      <c r="B457" s="453"/>
      <c r="C457" s="429"/>
      <c r="D457" s="398"/>
      <c r="E457" s="397"/>
    </row>
    <row r="458" spans="1:5">
      <c r="A458" s="401"/>
      <c r="B458" s="453"/>
      <c r="C458" s="429"/>
      <c r="D458" s="398"/>
      <c r="E458" s="397"/>
    </row>
    <row r="459" spans="1:5">
      <c r="A459" s="401"/>
      <c r="B459" s="453"/>
      <c r="C459" s="429"/>
      <c r="D459" s="398"/>
      <c r="E459" s="397"/>
    </row>
    <row r="460" spans="1:5">
      <c r="A460" s="401"/>
      <c r="B460" s="453"/>
      <c r="C460" s="429"/>
      <c r="D460" s="398"/>
      <c r="E460" s="397"/>
    </row>
    <row r="461" spans="1:5">
      <c r="A461" s="401"/>
      <c r="B461" s="453"/>
      <c r="C461" s="429"/>
      <c r="D461" s="398"/>
      <c r="E461" s="397"/>
    </row>
    <row r="462" spans="1:5">
      <c r="A462" s="401"/>
      <c r="B462" s="453"/>
      <c r="C462" s="429"/>
      <c r="D462" s="398"/>
      <c r="E462" s="397"/>
    </row>
    <row r="463" spans="1:5">
      <c r="A463" s="401"/>
      <c r="B463" s="453"/>
      <c r="C463" s="429"/>
      <c r="D463" s="398"/>
      <c r="E463" s="397"/>
    </row>
    <row r="464" spans="1:5">
      <c r="A464" s="401"/>
      <c r="B464" s="453"/>
      <c r="C464" s="429"/>
      <c r="D464" s="398"/>
      <c r="E464" s="397"/>
    </row>
    <row r="465" spans="1:5">
      <c r="A465" s="401"/>
      <c r="B465" s="453"/>
      <c r="C465" s="429"/>
      <c r="D465" s="398"/>
      <c r="E465" s="397"/>
    </row>
    <row r="466" spans="1:5">
      <c r="A466" s="401"/>
      <c r="B466" s="453"/>
      <c r="C466" s="429"/>
      <c r="D466" s="398"/>
      <c r="E466" s="397"/>
    </row>
    <row r="467" spans="1:5">
      <c r="A467" s="401"/>
      <c r="B467" s="453"/>
      <c r="C467" s="429"/>
      <c r="D467" s="398"/>
      <c r="E467" s="397"/>
    </row>
    <row r="468" spans="1:5">
      <c r="A468" s="401"/>
      <c r="B468" s="453"/>
      <c r="C468" s="429"/>
      <c r="D468" s="398"/>
      <c r="E468" s="397"/>
    </row>
    <row r="469" spans="1:5">
      <c r="A469" s="401"/>
      <c r="B469" s="453"/>
      <c r="C469" s="429"/>
      <c r="D469" s="398"/>
      <c r="E469" s="397"/>
    </row>
    <row r="470" spans="1:5">
      <c r="A470" s="401"/>
      <c r="B470" s="453"/>
      <c r="C470" s="429"/>
      <c r="D470" s="398"/>
      <c r="E470" s="397"/>
    </row>
    <row r="471" spans="1:5">
      <c r="A471" s="401"/>
      <c r="B471" s="453"/>
      <c r="C471" s="429"/>
      <c r="D471" s="398"/>
      <c r="E471" s="397"/>
    </row>
    <row r="472" spans="1:5">
      <c r="A472" s="401"/>
      <c r="B472" s="453"/>
      <c r="C472" s="429"/>
      <c r="D472" s="398"/>
      <c r="E472" s="397"/>
    </row>
    <row r="473" spans="1:5">
      <c r="A473" s="401"/>
      <c r="B473" s="453"/>
      <c r="C473" s="429"/>
      <c r="D473" s="398"/>
      <c r="E473" s="397"/>
    </row>
    <row r="474" spans="1:5">
      <c r="A474" s="401"/>
      <c r="B474" s="453"/>
      <c r="C474" s="429"/>
      <c r="D474" s="398"/>
      <c r="E474" s="397"/>
    </row>
    <row r="475" spans="1:5">
      <c r="A475" s="401"/>
      <c r="B475" s="453"/>
      <c r="C475" s="429"/>
      <c r="D475" s="398"/>
      <c r="E475" s="397"/>
    </row>
    <row r="476" spans="1:5">
      <c r="A476" s="401"/>
      <c r="B476" s="453"/>
      <c r="C476" s="429"/>
      <c r="D476" s="398"/>
      <c r="E476" s="397"/>
    </row>
    <row r="477" spans="1:5">
      <c r="A477" s="401"/>
      <c r="B477" s="453"/>
      <c r="C477" s="429"/>
      <c r="D477" s="398"/>
      <c r="E477" s="397"/>
    </row>
    <row r="478" spans="1:5">
      <c r="A478" s="401"/>
      <c r="B478" s="453"/>
      <c r="C478" s="429"/>
      <c r="D478" s="398"/>
      <c r="E478" s="397"/>
    </row>
    <row r="479" spans="1:5">
      <c r="A479" s="401"/>
      <c r="B479" s="453"/>
      <c r="C479" s="429"/>
      <c r="D479" s="398"/>
      <c r="E479" s="397"/>
    </row>
    <row r="480" spans="1:5">
      <c r="A480" s="401"/>
      <c r="B480" s="453"/>
      <c r="C480" s="429"/>
      <c r="D480" s="398"/>
      <c r="E480" s="397"/>
    </row>
    <row r="481" spans="1:5">
      <c r="A481" s="401"/>
      <c r="B481" s="453"/>
      <c r="C481" s="429"/>
      <c r="D481" s="398"/>
      <c r="E481" s="397"/>
    </row>
    <row r="482" spans="1:5">
      <c r="A482" s="401"/>
      <c r="B482" s="453"/>
      <c r="C482" s="429"/>
      <c r="D482" s="398"/>
      <c r="E482" s="397"/>
    </row>
    <row r="483" spans="1:5">
      <c r="A483" s="401"/>
      <c r="B483" s="453"/>
      <c r="C483" s="429"/>
      <c r="D483" s="398"/>
      <c r="E483" s="397"/>
    </row>
    <row r="484" spans="1:5">
      <c r="A484" s="401"/>
      <c r="B484" s="453"/>
      <c r="C484" s="429"/>
      <c r="D484" s="398"/>
      <c r="E484" s="397"/>
    </row>
    <row r="485" spans="1:5">
      <c r="A485" s="401"/>
      <c r="B485" s="453"/>
      <c r="C485" s="429"/>
      <c r="D485" s="398"/>
      <c r="E485" s="397"/>
    </row>
    <row r="486" spans="1:5">
      <c r="A486" s="401"/>
      <c r="B486" s="453"/>
      <c r="C486" s="429"/>
      <c r="D486" s="398"/>
      <c r="E486" s="397"/>
    </row>
    <row r="487" spans="1:5">
      <c r="A487" s="401"/>
      <c r="B487" s="453"/>
      <c r="C487" s="429"/>
      <c r="D487" s="398"/>
      <c r="E487" s="397"/>
    </row>
    <row r="488" spans="1:5">
      <c r="A488" s="401"/>
      <c r="B488" s="453"/>
      <c r="C488" s="429"/>
      <c r="D488" s="398"/>
      <c r="E488" s="397"/>
    </row>
    <row r="489" spans="1:5">
      <c r="A489" s="401"/>
      <c r="B489" s="453"/>
      <c r="C489" s="429"/>
      <c r="D489" s="398"/>
      <c r="E489" s="397"/>
    </row>
    <row r="490" spans="1:5">
      <c r="A490" s="401"/>
      <c r="B490" s="453"/>
      <c r="C490" s="429"/>
      <c r="D490" s="398"/>
      <c r="E490" s="397"/>
    </row>
    <row r="491" spans="1:5">
      <c r="A491" s="401"/>
      <c r="B491" s="453"/>
      <c r="C491" s="429"/>
      <c r="D491" s="398"/>
      <c r="E491" s="397"/>
    </row>
    <row r="492" spans="1:5">
      <c r="A492" s="401"/>
      <c r="B492" s="453"/>
      <c r="C492" s="429"/>
      <c r="D492" s="398"/>
      <c r="E492" s="397"/>
    </row>
    <row r="493" spans="1:5">
      <c r="A493" s="401"/>
      <c r="B493" s="453"/>
      <c r="C493" s="429"/>
      <c r="D493" s="398"/>
      <c r="E493" s="397"/>
    </row>
    <row r="494" spans="1:5">
      <c r="A494" s="401"/>
      <c r="B494" s="453"/>
      <c r="C494" s="429"/>
      <c r="D494" s="398"/>
      <c r="E494" s="397"/>
    </row>
    <row r="495" spans="1:5">
      <c r="A495" s="401"/>
      <c r="B495" s="453"/>
      <c r="C495" s="429"/>
      <c r="D495" s="398"/>
      <c r="E495" s="397"/>
    </row>
    <row r="496" spans="1:5">
      <c r="A496" s="401"/>
      <c r="B496" s="453"/>
      <c r="C496" s="429"/>
      <c r="D496" s="398"/>
      <c r="E496" s="397"/>
    </row>
    <row r="497" spans="1:5">
      <c r="A497" s="401"/>
      <c r="B497" s="453"/>
      <c r="C497" s="429"/>
      <c r="D497" s="398"/>
      <c r="E497" s="397"/>
    </row>
    <row r="498" spans="1:5">
      <c r="A498" s="401"/>
      <c r="B498" s="453"/>
      <c r="C498" s="429"/>
      <c r="D498" s="398"/>
      <c r="E498" s="397"/>
    </row>
    <row r="499" spans="1:5">
      <c r="A499" s="401"/>
      <c r="B499" s="453"/>
      <c r="C499" s="429"/>
      <c r="D499" s="398"/>
      <c r="E499" s="397"/>
    </row>
    <row r="500" spans="1:5">
      <c r="A500" s="401"/>
      <c r="B500" s="453"/>
      <c r="C500" s="429"/>
      <c r="D500" s="398"/>
      <c r="E500" s="397"/>
    </row>
    <row r="501" spans="1:5">
      <c r="A501" s="401"/>
      <c r="B501" s="453"/>
      <c r="C501" s="429"/>
      <c r="D501" s="398"/>
      <c r="E501" s="397"/>
    </row>
    <row r="502" spans="1:5">
      <c r="A502" s="401"/>
      <c r="B502" s="453"/>
      <c r="C502" s="429"/>
      <c r="D502" s="398"/>
      <c r="E502" s="397"/>
    </row>
    <row r="503" spans="1:5">
      <c r="A503" s="401"/>
      <c r="B503" s="453"/>
      <c r="C503" s="429"/>
      <c r="D503" s="398"/>
      <c r="E503" s="397"/>
    </row>
    <row r="504" spans="1:5">
      <c r="A504" s="401"/>
      <c r="B504" s="453"/>
      <c r="C504" s="429"/>
      <c r="D504" s="398"/>
      <c r="E504" s="397"/>
    </row>
    <row r="505" spans="1:5">
      <c r="A505" s="401"/>
      <c r="B505" s="453"/>
      <c r="C505" s="429"/>
      <c r="D505" s="398"/>
      <c r="E505" s="397"/>
    </row>
    <row r="506" spans="1:5">
      <c r="A506" s="401"/>
      <c r="B506" s="453"/>
      <c r="C506" s="429"/>
      <c r="D506" s="398"/>
      <c r="E506" s="397"/>
    </row>
    <row r="507" spans="1:5">
      <c r="A507" s="401"/>
      <c r="B507" s="453"/>
      <c r="C507" s="429"/>
      <c r="D507" s="398"/>
      <c r="E507" s="397"/>
    </row>
    <row r="508" spans="1:5">
      <c r="A508" s="401"/>
      <c r="B508" s="453"/>
      <c r="C508" s="429"/>
      <c r="D508" s="398"/>
      <c r="E508" s="397"/>
    </row>
    <row r="509" spans="1:5">
      <c r="A509" s="401"/>
      <c r="B509" s="453"/>
      <c r="C509" s="429"/>
      <c r="D509" s="398"/>
      <c r="E509" s="397"/>
    </row>
    <row r="510" spans="1:5">
      <c r="A510" s="401"/>
      <c r="B510" s="453"/>
      <c r="C510" s="429"/>
      <c r="D510" s="398"/>
      <c r="E510" s="397"/>
    </row>
    <row r="511" spans="1:5">
      <c r="A511" s="401"/>
      <c r="B511" s="453"/>
      <c r="C511" s="429"/>
      <c r="D511" s="398"/>
      <c r="E511" s="397"/>
    </row>
    <row r="512" spans="1:5">
      <c r="A512" s="401"/>
      <c r="B512" s="453"/>
      <c r="C512" s="429"/>
      <c r="D512" s="398"/>
      <c r="E512" s="397"/>
    </row>
    <row r="513" spans="1:5">
      <c r="A513" s="401"/>
      <c r="B513" s="453"/>
      <c r="C513" s="429"/>
      <c r="D513" s="398"/>
      <c r="E513" s="397"/>
    </row>
    <row r="514" spans="1:5">
      <c r="A514" s="401"/>
      <c r="B514" s="453"/>
      <c r="C514" s="429"/>
      <c r="D514" s="398"/>
      <c r="E514" s="397"/>
    </row>
    <row r="515" spans="1:5">
      <c r="A515" s="401"/>
      <c r="B515" s="453"/>
      <c r="C515" s="429"/>
      <c r="D515" s="398"/>
      <c r="E515" s="397"/>
    </row>
    <row r="516" spans="1:5">
      <c r="A516" s="401"/>
      <c r="B516" s="453"/>
      <c r="C516" s="429"/>
      <c r="D516" s="398"/>
      <c r="E516" s="397"/>
    </row>
    <row r="517" spans="1:5">
      <c r="A517" s="401"/>
      <c r="B517" s="453"/>
      <c r="C517" s="429"/>
      <c r="D517" s="398"/>
      <c r="E517" s="397"/>
    </row>
    <row r="518" spans="1:5">
      <c r="A518" s="401"/>
      <c r="B518" s="453"/>
      <c r="C518" s="429"/>
      <c r="D518" s="398"/>
      <c r="E518" s="397"/>
    </row>
    <row r="519" spans="1:5">
      <c r="A519" s="401"/>
      <c r="B519" s="453"/>
      <c r="C519" s="429"/>
      <c r="D519" s="398"/>
      <c r="E519" s="397"/>
    </row>
    <row r="520" spans="1:5">
      <c r="A520" s="401"/>
      <c r="B520" s="453"/>
      <c r="C520" s="429"/>
      <c r="D520" s="398"/>
      <c r="E520" s="397"/>
    </row>
    <row r="521" spans="1:5">
      <c r="A521" s="401"/>
      <c r="B521" s="453"/>
      <c r="C521" s="429"/>
      <c r="D521" s="398"/>
      <c r="E521" s="397"/>
    </row>
    <row r="522" spans="1:5">
      <c r="A522" s="401"/>
      <c r="B522" s="453"/>
      <c r="C522" s="429"/>
      <c r="D522" s="398"/>
      <c r="E522" s="397"/>
    </row>
    <row r="523" spans="1:5">
      <c r="A523" s="401"/>
      <c r="B523" s="453"/>
      <c r="C523" s="429"/>
      <c r="D523" s="398"/>
      <c r="E523" s="397"/>
    </row>
    <row r="524" spans="1:5">
      <c r="A524" s="401"/>
      <c r="B524" s="453"/>
      <c r="C524" s="429"/>
      <c r="D524" s="398"/>
      <c r="E524" s="397"/>
    </row>
    <row r="525" spans="1:5">
      <c r="A525" s="401"/>
      <c r="B525" s="453"/>
      <c r="C525" s="429"/>
      <c r="D525" s="398"/>
      <c r="E525" s="397"/>
    </row>
    <row r="526" spans="1:5">
      <c r="A526" s="401"/>
      <c r="B526" s="453"/>
      <c r="C526" s="429"/>
      <c r="D526" s="398"/>
      <c r="E526" s="397"/>
    </row>
    <row r="527" spans="1:5">
      <c r="A527" s="401"/>
      <c r="B527" s="453"/>
      <c r="C527" s="429"/>
      <c r="D527" s="398"/>
      <c r="E527" s="397"/>
    </row>
    <row r="528" spans="1:5">
      <c r="A528" s="401"/>
      <c r="B528" s="453"/>
      <c r="C528" s="429"/>
      <c r="D528" s="398"/>
      <c r="E528" s="397"/>
    </row>
    <row r="529" spans="1:5">
      <c r="A529" s="401"/>
      <c r="B529" s="453"/>
      <c r="C529" s="429"/>
      <c r="D529" s="398"/>
      <c r="E529" s="397"/>
    </row>
    <row r="530" spans="1:5">
      <c r="A530" s="401"/>
      <c r="B530" s="453"/>
      <c r="C530" s="429"/>
      <c r="D530" s="398"/>
      <c r="E530" s="397"/>
    </row>
    <row r="531" spans="1:5">
      <c r="A531" s="401"/>
      <c r="B531" s="453"/>
      <c r="C531" s="429"/>
      <c r="D531" s="398"/>
      <c r="E531" s="397"/>
    </row>
    <row r="532" spans="1:5">
      <c r="A532" s="401"/>
      <c r="B532" s="453"/>
      <c r="C532" s="429"/>
      <c r="D532" s="398"/>
      <c r="E532" s="397"/>
    </row>
    <row r="533" spans="1:5">
      <c r="A533" s="401"/>
      <c r="B533" s="453"/>
      <c r="C533" s="429"/>
      <c r="D533" s="398"/>
      <c r="E533" s="397"/>
    </row>
    <row r="534" spans="1:5">
      <c r="A534" s="401"/>
      <c r="B534" s="453"/>
      <c r="C534" s="429"/>
      <c r="D534" s="398"/>
      <c r="E534" s="397"/>
    </row>
    <row r="535" spans="1:5">
      <c r="A535" s="401"/>
      <c r="B535" s="453"/>
      <c r="C535" s="429"/>
      <c r="D535" s="398"/>
      <c r="E535" s="397"/>
    </row>
    <row r="536" spans="1:5">
      <c r="A536" s="401"/>
      <c r="B536" s="453"/>
      <c r="C536" s="429"/>
      <c r="D536" s="398"/>
      <c r="E536" s="397"/>
    </row>
    <row r="537" spans="1:5">
      <c r="A537" s="401"/>
      <c r="B537" s="453"/>
      <c r="C537" s="429"/>
      <c r="D537" s="398"/>
      <c r="E537" s="397"/>
    </row>
    <row r="538" spans="1:5">
      <c r="A538" s="401"/>
      <c r="B538" s="453"/>
      <c r="C538" s="429"/>
      <c r="D538" s="398"/>
      <c r="E538" s="397"/>
    </row>
    <row r="539" spans="1:5">
      <c r="A539" s="401"/>
      <c r="B539" s="453"/>
      <c r="C539" s="429"/>
      <c r="D539" s="398"/>
      <c r="E539" s="397"/>
    </row>
    <row r="540" spans="1:5">
      <c r="A540" s="401"/>
      <c r="B540" s="453"/>
      <c r="C540" s="429"/>
      <c r="D540" s="398"/>
      <c r="E540" s="397"/>
    </row>
    <row r="541" spans="1:5">
      <c r="A541" s="401"/>
      <c r="B541" s="453"/>
      <c r="C541" s="429"/>
      <c r="D541" s="398"/>
      <c r="E541" s="397"/>
    </row>
    <row r="542" spans="1:5">
      <c r="A542" s="401"/>
      <c r="B542" s="453"/>
      <c r="C542" s="429"/>
      <c r="D542" s="398"/>
      <c r="E542" s="397"/>
    </row>
    <row r="543" spans="1:5">
      <c r="A543" s="401"/>
      <c r="B543" s="453"/>
      <c r="C543" s="429"/>
      <c r="D543" s="398"/>
      <c r="E543" s="397"/>
    </row>
    <row r="544" spans="1:5">
      <c r="A544" s="401"/>
      <c r="B544" s="453"/>
      <c r="C544" s="429"/>
      <c r="D544" s="398"/>
      <c r="E544" s="397"/>
    </row>
    <row r="545" spans="1:5">
      <c r="A545" s="401"/>
      <c r="B545" s="453"/>
      <c r="C545" s="429"/>
      <c r="D545" s="398"/>
      <c r="E545" s="397"/>
    </row>
    <row r="546" spans="1:5">
      <c r="A546" s="401"/>
      <c r="B546" s="453"/>
      <c r="C546" s="429"/>
      <c r="D546" s="398"/>
      <c r="E546" s="397"/>
    </row>
    <row r="547" spans="1:5">
      <c r="A547" s="401"/>
      <c r="B547" s="453"/>
      <c r="C547" s="429"/>
      <c r="D547" s="398"/>
      <c r="E547" s="397"/>
    </row>
    <row r="548" spans="1:5">
      <c r="A548" s="401"/>
      <c r="B548" s="453"/>
      <c r="C548" s="429"/>
      <c r="D548" s="398"/>
      <c r="E548" s="397"/>
    </row>
    <row r="549" spans="1:5">
      <c r="A549" s="401"/>
      <c r="B549" s="453"/>
      <c r="C549" s="429"/>
      <c r="D549" s="398"/>
      <c r="E549" s="397"/>
    </row>
    <row r="550" spans="1:5">
      <c r="A550" s="401"/>
      <c r="B550" s="453"/>
      <c r="C550" s="429"/>
      <c r="D550" s="398"/>
      <c r="E550" s="397"/>
    </row>
    <row r="551" spans="1:5">
      <c r="A551" s="401"/>
      <c r="B551" s="453"/>
      <c r="C551" s="429"/>
      <c r="D551" s="398"/>
      <c r="E551" s="397"/>
    </row>
    <row r="552" spans="1:5">
      <c r="A552" s="401"/>
      <c r="B552" s="453"/>
      <c r="C552" s="429"/>
      <c r="D552" s="398"/>
      <c r="E552" s="397"/>
    </row>
    <row r="553" spans="1:5">
      <c r="A553" s="401"/>
      <c r="B553" s="453"/>
      <c r="C553" s="429"/>
      <c r="D553" s="398"/>
      <c r="E553" s="397"/>
    </row>
    <row r="554" spans="1:5">
      <c r="A554" s="401"/>
      <c r="B554" s="453"/>
      <c r="C554" s="429"/>
      <c r="D554" s="398"/>
      <c r="E554" s="397"/>
    </row>
    <row r="555" spans="1:5">
      <c r="A555" s="401"/>
      <c r="B555" s="453"/>
      <c r="C555" s="429"/>
      <c r="D555" s="398"/>
      <c r="E555" s="397"/>
    </row>
    <row r="556" spans="1:5">
      <c r="A556" s="401"/>
      <c r="B556" s="453"/>
      <c r="C556" s="429"/>
      <c r="D556" s="398"/>
      <c r="E556" s="397"/>
    </row>
    <row r="557" spans="1:5">
      <c r="A557" s="401"/>
      <c r="B557" s="453"/>
      <c r="C557" s="429"/>
      <c r="D557" s="398"/>
      <c r="E557" s="397"/>
    </row>
    <row r="558" spans="1:5">
      <c r="A558" s="401"/>
      <c r="B558" s="453"/>
      <c r="C558" s="429"/>
      <c r="D558" s="398"/>
      <c r="E558" s="397"/>
    </row>
    <row r="559" spans="1:5">
      <c r="A559" s="401"/>
      <c r="B559" s="453"/>
      <c r="C559" s="429"/>
      <c r="D559" s="398"/>
      <c r="E559" s="397"/>
    </row>
    <row r="560" spans="1:5">
      <c r="A560" s="401"/>
      <c r="B560" s="453"/>
      <c r="C560" s="429"/>
      <c r="D560" s="398"/>
      <c r="E560" s="397"/>
    </row>
    <row r="561" spans="1:5">
      <c r="A561" s="401"/>
      <c r="B561" s="453"/>
      <c r="C561" s="429"/>
      <c r="D561" s="398"/>
      <c r="E561" s="397"/>
    </row>
    <row r="562" spans="1:5">
      <c r="A562" s="401"/>
      <c r="B562" s="453"/>
      <c r="C562" s="429"/>
      <c r="D562" s="398"/>
      <c r="E562" s="397"/>
    </row>
    <row r="563" spans="1:5">
      <c r="A563" s="401"/>
      <c r="B563" s="453"/>
      <c r="C563" s="429"/>
      <c r="D563" s="398"/>
      <c r="E563" s="397"/>
    </row>
    <row r="564" spans="1:5">
      <c r="A564" s="401"/>
      <c r="B564" s="453"/>
      <c r="C564" s="429"/>
      <c r="D564" s="398"/>
      <c r="E564" s="397"/>
    </row>
    <row r="565" spans="1:5">
      <c r="A565" s="401"/>
      <c r="B565" s="453"/>
      <c r="C565" s="429"/>
      <c r="D565" s="398"/>
      <c r="E565" s="397"/>
    </row>
    <row r="566" spans="1:5">
      <c r="A566" s="401"/>
      <c r="B566" s="453"/>
      <c r="C566" s="429"/>
      <c r="D566" s="398"/>
      <c r="E566" s="397"/>
    </row>
    <row r="567" spans="1:5">
      <c r="A567" s="401"/>
      <c r="B567" s="453"/>
      <c r="C567" s="429"/>
      <c r="D567" s="398"/>
      <c r="E567" s="397"/>
    </row>
    <row r="568" spans="1:5">
      <c r="A568" s="401"/>
      <c r="B568" s="453"/>
      <c r="C568" s="429"/>
      <c r="D568" s="398"/>
      <c r="E568" s="397"/>
    </row>
    <row r="569" spans="1:5">
      <c r="A569" s="401"/>
      <c r="B569" s="453"/>
      <c r="C569" s="429"/>
      <c r="D569" s="398"/>
      <c r="E569" s="397"/>
    </row>
    <row r="570" spans="1:5">
      <c r="A570" s="401"/>
      <c r="B570" s="453"/>
      <c r="C570" s="429"/>
      <c r="D570" s="398"/>
      <c r="E570" s="397"/>
    </row>
    <row r="571" spans="1:5">
      <c r="A571" s="401"/>
      <c r="B571" s="453"/>
      <c r="C571" s="429"/>
      <c r="D571" s="398"/>
      <c r="E571" s="397"/>
    </row>
    <row r="572" spans="1:5">
      <c r="A572" s="401"/>
      <c r="B572" s="453"/>
      <c r="C572" s="429"/>
      <c r="D572" s="398"/>
      <c r="E572" s="397"/>
    </row>
    <row r="573" spans="1:5">
      <c r="A573" s="401"/>
      <c r="B573" s="453"/>
      <c r="C573" s="429"/>
      <c r="D573" s="398"/>
      <c r="E573" s="397"/>
    </row>
    <row r="574" spans="1:5">
      <c r="A574" s="401"/>
      <c r="B574" s="453"/>
      <c r="C574" s="429"/>
      <c r="D574" s="398"/>
      <c r="E574" s="397"/>
    </row>
    <row r="575" spans="1:5">
      <c r="A575" s="401"/>
      <c r="B575" s="453"/>
      <c r="C575" s="429"/>
      <c r="D575" s="398"/>
      <c r="E575" s="397"/>
    </row>
    <row r="576" spans="1:5">
      <c r="A576" s="401"/>
      <c r="B576" s="453"/>
      <c r="C576" s="429"/>
      <c r="D576" s="398"/>
      <c r="E576" s="397"/>
    </row>
    <row r="577" spans="1:5">
      <c r="A577" s="401"/>
      <c r="B577" s="453"/>
      <c r="C577" s="429"/>
      <c r="D577" s="398"/>
      <c r="E577" s="397"/>
    </row>
    <row r="578" spans="1:5">
      <c r="A578" s="401"/>
      <c r="B578" s="453"/>
      <c r="C578" s="429"/>
      <c r="D578" s="398"/>
      <c r="E578" s="397"/>
    </row>
    <row r="579" spans="1:5">
      <c r="A579" s="401"/>
      <c r="B579" s="453"/>
      <c r="C579" s="429"/>
      <c r="D579" s="398"/>
      <c r="E579" s="397"/>
    </row>
    <row r="580" spans="1:5">
      <c r="A580" s="401"/>
      <c r="B580" s="453"/>
      <c r="C580" s="429"/>
      <c r="D580" s="398"/>
      <c r="E580" s="397"/>
    </row>
    <row r="581" spans="1:5">
      <c r="A581" s="401"/>
      <c r="B581" s="453"/>
      <c r="C581" s="429"/>
      <c r="D581" s="398"/>
      <c r="E581" s="397"/>
    </row>
    <row r="582" spans="1:5">
      <c r="A582" s="401"/>
      <c r="B582" s="453"/>
      <c r="C582" s="429"/>
      <c r="D582" s="398"/>
      <c r="E582" s="397"/>
    </row>
    <row r="583" spans="1:5">
      <c r="A583" s="401"/>
      <c r="B583" s="453"/>
      <c r="C583" s="429"/>
      <c r="D583" s="398"/>
      <c r="E583" s="397"/>
    </row>
    <row r="584" spans="1:5">
      <c r="A584" s="401"/>
      <c r="B584" s="453"/>
      <c r="C584" s="429"/>
      <c r="D584" s="398"/>
      <c r="E584" s="397"/>
    </row>
    <row r="585" spans="1:5">
      <c r="A585" s="401"/>
      <c r="B585" s="453"/>
      <c r="C585" s="429"/>
      <c r="D585" s="398"/>
      <c r="E585" s="397"/>
    </row>
    <row r="586" spans="1:5">
      <c r="A586" s="401"/>
      <c r="B586" s="453"/>
      <c r="C586" s="429"/>
      <c r="D586" s="398"/>
      <c r="E586" s="397"/>
    </row>
    <row r="587" spans="1:5">
      <c r="A587" s="401"/>
      <c r="B587" s="453"/>
      <c r="C587" s="429"/>
      <c r="D587" s="398"/>
      <c r="E587" s="397"/>
    </row>
    <row r="588" spans="1:5">
      <c r="A588" s="401"/>
      <c r="B588" s="453"/>
      <c r="C588" s="429"/>
      <c r="D588" s="398"/>
      <c r="E588" s="397"/>
    </row>
    <row r="589" spans="1:5">
      <c r="A589" s="401"/>
      <c r="B589" s="453"/>
      <c r="C589" s="429"/>
      <c r="D589" s="398"/>
      <c r="E589" s="397"/>
    </row>
    <row r="590" spans="1:5">
      <c r="A590" s="401"/>
      <c r="B590" s="453"/>
      <c r="C590" s="429"/>
      <c r="D590" s="398"/>
      <c r="E590" s="397"/>
    </row>
    <row r="591" spans="1:5">
      <c r="A591" s="401"/>
      <c r="B591" s="453"/>
      <c r="C591" s="429"/>
      <c r="D591" s="398"/>
      <c r="E591" s="397"/>
    </row>
    <row r="592" spans="1:5">
      <c r="A592" s="401"/>
      <c r="B592" s="453"/>
      <c r="C592" s="429"/>
      <c r="D592" s="398"/>
      <c r="E592" s="397"/>
    </row>
    <row r="593" spans="1:5">
      <c r="A593" s="401"/>
      <c r="B593" s="453"/>
      <c r="C593" s="429"/>
      <c r="D593" s="398"/>
      <c r="E593" s="397"/>
    </row>
    <row r="594" spans="1:5">
      <c r="A594" s="401"/>
      <c r="B594" s="453"/>
      <c r="C594" s="429"/>
      <c r="D594" s="398"/>
      <c r="E594" s="397"/>
    </row>
    <row r="595" spans="1:5">
      <c r="A595" s="401"/>
      <c r="B595" s="453"/>
      <c r="C595" s="429"/>
      <c r="D595" s="398"/>
      <c r="E595" s="397"/>
    </row>
    <row r="596" spans="1:5">
      <c r="A596" s="401"/>
      <c r="B596" s="453"/>
      <c r="C596" s="429"/>
      <c r="D596" s="398"/>
      <c r="E596" s="397"/>
    </row>
    <row r="597" spans="1:5">
      <c r="A597" s="401"/>
      <c r="B597" s="453"/>
      <c r="C597" s="429"/>
      <c r="D597" s="398"/>
      <c r="E597" s="397"/>
    </row>
    <row r="598" spans="1:5">
      <c r="A598" s="401"/>
      <c r="B598" s="453"/>
      <c r="C598" s="429"/>
      <c r="D598" s="398"/>
      <c r="E598" s="397"/>
    </row>
    <row r="599" spans="1:5">
      <c r="A599" s="401"/>
      <c r="B599" s="453"/>
      <c r="C599" s="429"/>
      <c r="D599" s="398"/>
      <c r="E599" s="397"/>
    </row>
    <row r="600" spans="1:5">
      <c r="A600" s="401"/>
      <c r="B600" s="453"/>
      <c r="C600" s="429"/>
      <c r="D600" s="398"/>
      <c r="E600" s="397"/>
    </row>
    <row r="601" spans="1:5">
      <c r="A601" s="401"/>
      <c r="B601" s="453"/>
      <c r="C601" s="429"/>
      <c r="D601" s="398"/>
      <c r="E601" s="397"/>
    </row>
    <row r="602" spans="1:5">
      <c r="A602" s="401"/>
      <c r="B602" s="453"/>
      <c r="C602" s="429"/>
      <c r="D602" s="398"/>
      <c r="E602" s="397"/>
    </row>
    <row r="603" spans="1:5">
      <c r="A603" s="401"/>
      <c r="B603" s="453"/>
      <c r="C603" s="429"/>
      <c r="D603" s="398"/>
      <c r="E603" s="397"/>
    </row>
    <row r="604" spans="1:5">
      <c r="A604" s="401"/>
      <c r="B604" s="453"/>
      <c r="C604" s="429"/>
      <c r="D604" s="398"/>
      <c r="E604" s="397"/>
    </row>
    <row r="605" spans="1:5">
      <c r="A605" s="401"/>
      <c r="B605" s="453"/>
      <c r="C605" s="429"/>
      <c r="D605" s="398"/>
      <c r="E605" s="397"/>
    </row>
    <row r="606" spans="1:5">
      <c r="A606" s="401"/>
      <c r="B606" s="453"/>
      <c r="C606" s="429"/>
      <c r="D606" s="398"/>
      <c r="E606" s="397"/>
    </row>
    <row r="607" spans="1:5">
      <c r="A607" s="401"/>
      <c r="B607" s="453"/>
      <c r="C607" s="429"/>
      <c r="D607" s="398"/>
      <c r="E607" s="397"/>
    </row>
    <row r="608" spans="1:5">
      <c r="A608" s="401"/>
      <c r="B608" s="453"/>
      <c r="C608" s="429"/>
      <c r="D608" s="398"/>
      <c r="E608" s="397"/>
    </row>
    <row r="609" spans="1:5">
      <c r="A609" s="401"/>
      <c r="B609" s="453"/>
      <c r="C609" s="429"/>
      <c r="D609" s="398"/>
      <c r="E609" s="397"/>
    </row>
    <row r="610" spans="1:5">
      <c r="A610" s="401"/>
      <c r="B610" s="453"/>
      <c r="C610" s="429"/>
      <c r="D610" s="398"/>
      <c r="E610" s="397"/>
    </row>
    <row r="611" spans="1:5">
      <c r="A611" s="401"/>
      <c r="B611" s="453"/>
      <c r="C611" s="429"/>
      <c r="D611" s="398"/>
      <c r="E611" s="397"/>
    </row>
    <row r="612" spans="1:5">
      <c r="A612" s="401"/>
      <c r="B612" s="453"/>
      <c r="C612" s="429"/>
      <c r="D612" s="398"/>
      <c r="E612" s="397"/>
    </row>
    <row r="613" spans="1:5">
      <c r="A613" s="401"/>
      <c r="B613" s="453"/>
      <c r="C613" s="429"/>
      <c r="D613" s="398"/>
      <c r="E613" s="397"/>
    </row>
    <row r="614" spans="1:5">
      <c r="A614" s="401"/>
      <c r="B614" s="453"/>
      <c r="C614" s="429"/>
      <c r="D614" s="398"/>
      <c r="E614" s="397"/>
    </row>
    <row r="615" spans="1:5">
      <c r="A615" s="401"/>
      <c r="B615" s="453"/>
      <c r="C615" s="429"/>
      <c r="D615" s="398"/>
      <c r="E615" s="397"/>
    </row>
    <row r="616" spans="1:5">
      <c r="A616" s="401"/>
      <c r="B616" s="453"/>
      <c r="C616" s="429"/>
      <c r="D616" s="398"/>
      <c r="E616" s="397"/>
    </row>
    <row r="617" spans="1:5">
      <c r="A617" s="401"/>
      <c r="B617" s="453"/>
      <c r="C617" s="429"/>
      <c r="D617" s="398"/>
      <c r="E617" s="397"/>
    </row>
    <row r="618" spans="1:5">
      <c r="A618" s="401"/>
      <c r="B618" s="453"/>
      <c r="C618" s="429"/>
      <c r="D618" s="398"/>
      <c r="E618" s="397"/>
    </row>
    <row r="619" spans="1:5">
      <c r="A619" s="401"/>
      <c r="B619" s="453"/>
      <c r="C619" s="429"/>
      <c r="D619" s="398"/>
      <c r="E619" s="397"/>
    </row>
    <row r="620" spans="1:5">
      <c r="A620" s="401"/>
      <c r="B620" s="453"/>
      <c r="C620" s="429"/>
      <c r="D620" s="398"/>
      <c r="E620" s="397"/>
    </row>
    <row r="621" spans="1:5">
      <c r="A621" s="401"/>
      <c r="B621" s="453"/>
      <c r="C621" s="429"/>
      <c r="D621" s="398"/>
      <c r="E621" s="397"/>
    </row>
    <row r="622" spans="1:5">
      <c r="A622" s="401"/>
      <c r="B622" s="453"/>
      <c r="C622" s="429"/>
      <c r="D622" s="398"/>
      <c r="E622" s="397"/>
    </row>
    <row r="623" spans="1:5">
      <c r="A623" s="401"/>
      <c r="B623" s="453"/>
      <c r="C623" s="429"/>
      <c r="D623" s="398"/>
      <c r="E623" s="397"/>
    </row>
    <row r="624" spans="1:5">
      <c r="A624" s="401"/>
      <c r="B624" s="453"/>
      <c r="C624" s="429"/>
      <c r="D624" s="398"/>
      <c r="E624" s="397"/>
    </row>
    <row r="625" spans="1:5">
      <c r="A625" s="401"/>
      <c r="B625" s="453"/>
      <c r="C625" s="429"/>
      <c r="D625" s="398"/>
      <c r="E625" s="397"/>
    </row>
    <row r="626" spans="1:5">
      <c r="A626" s="401"/>
      <c r="B626" s="453"/>
      <c r="C626" s="429"/>
      <c r="D626" s="398"/>
      <c r="E626" s="397"/>
    </row>
    <row r="627" spans="1:5">
      <c r="A627" s="401"/>
      <c r="B627" s="453"/>
      <c r="C627" s="429"/>
      <c r="D627" s="398"/>
      <c r="E627" s="397"/>
    </row>
    <row r="628" spans="1:5">
      <c r="A628" s="401"/>
      <c r="B628" s="453"/>
      <c r="C628" s="429"/>
      <c r="D628" s="398"/>
      <c r="E628" s="397"/>
    </row>
    <row r="629" spans="1:5">
      <c r="A629" s="401"/>
      <c r="B629" s="453"/>
      <c r="C629" s="429"/>
      <c r="D629" s="398"/>
      <c r="E629" s="397"/>
    </row>
    <row r="630" spans="1:5">
      <c r="A630" s="401"/>
      <c r="B630" s="453"/>
      <c r="C630" s="429"/>
      <c r="D630" s="398"/>
      <c r="E630" s="397"/>
    </row>
    <row r="631" spans="1:5">
      <c r="A631" s="401"/>
      <c r="B631" s="453"/>
      <c r="C631" s="429"/>
      <c r="D631" s="398"/>
      <c r="E631" s="397"/>
    </row>
    <row r="632" spans="1:5">
      <c r="A632" s="401"/>
      <c r="B632" s="453"/>
      <c r="C632" s="429"/>
      <c r="D632" s="398"/>
      <c r="E632" s="397"/>
    </row>
    <row r="633" spans="1:5">
      <c r="A633" s="401"/>
      <c r="B633" s="453"/>
      <c r="C633" s="429"/>
      <c r="D633" s="398"/>
      <c r="E633" s="397"/>
    </row>
    <row r="634" spans="1:5">
      <c r="A634" s="401"/>
      <c r="B634" s="453"/>
      <c r="C634" s="429"/>
      <c r="D634" s="398"/>
      <c r="E634" s="397"/>
    </row>
    <row r="635" spans="1:5">
      <c r="A635" s="401"/>
      <c r="B635" s="453"/>
      <c r="C635" s="429"/>
      <c r="D635" s="398"/>
      <c r="E635" s="397"/>
    </row>
    <row r="636" spans="1:5">
      <c r="A636" s="401"/>
      <c r="B636" s="453"/>
      <c r="C636" s="429"/>
      <c r="D636" s="398"/>
      <c r="E636" s="397"/>
    </row>
    <row r="637" spans="1:5">
      <c r="A637" s="401"/>
      <c r="B637" s="453"/>
      <c r="C637" s="429"/>
      <c r="D637" s="398"/>
      <c r="E637" s="397"/>
    </row>
    <row r="638" spans="1:5">
      <c r="A638" s="401"/>
      <c r="B638" s="453"/>
      <c r="C638" s="429"/>
      <c r="D638" s="398"/>
      <c r="E638" s="397"/>
    </row>
    <row r="639" spans="1:5">
      <c r="A639" s="401"/>
      <c r="B639" s="453"/>
      <c r="C639" s="429"/>
      <c r="D639" s="398"/>
      <c r="E639" s="397"/>
    </row>
    <row r="640" spans="1:5">
      <c r="A640" s="401"/>
      <c r="B640" s="453"/>
      <c r="C640" s="429"/>
      <c r="D640" s="398"/>
      <c r="E640" s="397"/>
    </row>
    <row r="641" spans="1:5">
      <c r="A641" s="401"/>
      <c r="B641" s="453"/>
      <c r="C641" s="429"/>
      <c r="D641" s="398"/>
      <c r="E641" s="397"/>
    </row>
    <row r="642" spans="1:5">
      <c r="A642" s="401"/>
      <c r="B642" s="453"/>
      <c r="C642" s="429"/>
      <c r="D642" s="398"/>
      <c r="E642" s="397"/>
    </row>
    <row r="643" spans="1:5">
      <c r="A643" s="401"/>
      <c r="B643" s="453"/>
      <c r="C643" s="429"/>
      <c r="D643" s="398"/>
      <c r="E643" s="397"/>
    </row>
    <row r="644" spans="1:5">
      <c r="A644" s="401"/>
      <c r="B644" s="453"/>
      <c r="C644" s="429"/>
      <c r="D644" s="398"/>
      <c r="E644" s="397"/>
    </row>
    <row r="645" spans="1:5">
      <c r="A645" s="401"/>
      <c r="B645" s="453"/>
      <c r="C645" s="429"/>
      <c r="D645" s="398"/>
      <c r="E645" s="397"/>
    </row>
    <row r="646" spans="1:5">
      <c r="A646" s="401"/>
      <c r="B646" s="453"/>
      <c r="C646" s="429"/>
      <c r="D646" s="398"/>
      <c r="E646" s="397"/>
    </row>
    <row r="647" spans="1:5">
      <c r="A647" s="401"/>
      <c r="B647" s="453"/>
      <c r="C647" s="429"/>
      <c r="D647" s="398"/>
      <c r="E647" s="397"/>
    </row>
    <row r="648" spans="1:5">
      <c r="A648" s="401"/>
      <c r="B648" s="453"/>
      <c r="C648" s="429"/>
      <c r="D648" s="398"/>
      <c r="E648" s="397"/>
    </row>
    <row r="649" spans="1:5">
      <c r="A649" s="401"/>
      <c r="B649" s="453"/>
      <c r="C649" s="429"/>
      <c r="D649" s="398"/>
      <c r="E649" s="397"/>
    </row>
    <row r="650" spans="1:5">
      <c r="A650" s="401"/>
      <c r="B650" s="453"/>
      <c r="C650" s="429"/>
      <c r="D650" s="398"/>
      <c r="E650" s="397"/>
    </row>
    <row r="651" spans="1:5">
      <c r="A651" s="401"/>
      <c r="B651" s="453"/>
      <c r="C651" s="429"/>
      <c r="D651" s="398"/>
      <c r="E651" s="397"/>
    </row>
    <row r="652" spans="1:5">
      <c r="A652" s="401"/>
      <c r="B652" s="453"/>
      <c r="C652" s="429"/>
      <c r="D652" s="398"/>
      <c r="E652" s="397"/>
    </row>
    <row r="653" spans="1:5">
      <c r="A653" s="401"/>
      <c r="B653" s="453"/>
      <c r="C653" s="429"/>
      <c r="D653" s="398"/>
      <c r="E653" s="397"/>
    </row>
    <row r="654" spans="1:5">
      <c r="A654" s="401"/>
      <c r="B654" s="453"/>
      <c r="C654" s="429"/>
      <c r="D654" s="398"/>
      <c r="E654" s="397"/>
    </row>
    <row r="655" spans="1:5">
      <c r="A655" s="401"/>
      <c r="B655" s="453"/>
      <c r="C655" s="429"/>
      <c r="D655" s="398"/>
      <c r="E655" s="397"/>
    </row>
    <row r="656" spans="1:5">
      <c r="A656" s="401"/>
      <c r="B656" s="453"/>
      <c r="C656" s="429"/>
      <c r="D656" s="398"/>
      <c r="E656" s="397"/>
    </row>
    <row r="657" spans="1:5">
      <c r="A657" s="401"/>
      <c r="B657" s="453"/>
      <c r="C657" s="429"/>
      <c r="D657" s="398"/>
      <c r="E657" s="397"/>
    </row>
    <row r="658" spans="1:5">
      <c r="A658" s="401"/>
      <c r="B658" s="453"/>
      <c r="C658" s="429"/>
      <c r="D658" s="398"/>
      <c r="E658" s="397"/>
    </row>
    <row r="659" spans="1:5">
      <c r="A659" s="401"/>
      <c r="B659" s="453"/>
      <c r="C659" s="429"/>
      <c r="D659" s="398"/>
      <c r="E659" s="397"/>
    </row>
    <row r="660" spans="1:5">
      <c r="A660" s="401"/>
      <c r="B660" s="453"/>
      <c r="C660" s="429"/>
      <c r="D660" s="398"/>
      <c r="E660" s="397"/>
    </row>
    <row r="661" spans="1:5">
      <c r="A661" s="401"/>
      <c r="B661" s="453"/>
      <c r="C661" s="429"/>
      <c r="D661" s="398"/>
      <c r="E661" s="397"/>
    </row>
    <row r="662" spans="1:5">
      <c r="A662" s="401"/>
      <c r="B662" s="453"/>
      <c r="C662" s="429"/>
      <c r="D662" s="398"/>
      <c r="E662" s="397"/>
    </row>
    <row r="663" spans="1:5">
      <c r="A663" s="401"/>
      <c r="B663" s="453"/>
      <c r="C663" s="429"/>
      <c r="D663" s="398"/>
      <c r="E663" s="397"/>
    </row>
    <row r="664" spans="1:5">
      <c r="A664" s="401"/>
      <c r="B664" s="453"/>
      <c r="C664" s="429"/>
      <c r="D664" s="398"/>
      <c r="E664" s="397"/>
    </row>
    <row r="665" spans="1:5">
      <c r="A665" s="401"/>
      <c r="B665" s="453"/>
      <c r="C665" s="429"/>
      <c r="D665" s="398"/>
      <c r="E665" s="397"/>
    </row>
    <row r="666" spans="1:5">
      <c r="A666" s="401"/>
      <c r="B666" s="453"/>
      <c r="C666" s="429"/>
      <c r="D666" s="398"/>
      <c r="E666" s="397"/>
    </row>
    <row r="667" spans="1:5">
      <c r="A667" s="401"/>
      <c r="B667" s="453"/>
      <c r="C667" s="429"/>
      <c r="D667" s="398"/>
      <c r="E667" s="397"/>
    </row>
    <row r="668" spans="1:5">
      <c r="A668" s="401"/>
      <c r="B668" s="453"/>
      <c r="C668" s="429"/>
      <c r="D668" s="398"/>
      <c r="E668" s="397"/>
    </row>
    <row r="669" spans="1:5">
      <c r="A669" s="401"/>
      <c r="B669" s="453"/>
      <c r="C669" s="429"/>
      <c r="D669" s="398"/>
      <c r="E669" s="397"/>
    </row>
    <row r="670" spans="1:5">
      <c r="A670" s="401"/>
      <c r="B670" s="453"/>
      <c r="C670" s="429"/>
      <c r="D670" s="398"/>
      <c r="E670" s="397"/>
    </row>
    <row r="671" spans="1:5">
      <c r="A671" s="401"/>
      <c r="B671" s="453"/>
      <c r="C671" s="429"/>
      <c r="D671" s="398"/>
      <c r="E671" s="397"/>
    </row>
    <row r="672" spans="1:5">
      <c r="A672" s="401"/>
      <c r="B672" s="453"/>
      <c r="C672" s="429"/>
      <c r="D672" s="398"/>
      <c r="E672" s="397"/>
    </row>
    <row r="673" spans="1:5">
      <c r="A673" s="401"/>
      <c r="B673" s="453"/>
      <c r="C673" s="429"/>
      <c r="D673" s="398"/>
      <c r="E673" s="397"/>
    </row>
    <row r="674" spans="1:5">
      <c r="A674" s="401"/>
      <c r="B674" s="453"/>
      <c r="C674" s="429"/>
      <c r="D674" s="398"/>
      <c r="E674" s="397"/>
    </row>
    <row r="675" spans="1:5">
      <c r="A675" s="401"/>
      <c r="B675" s="453"/>
      <c r="C675" s="429"/>
      <c r="D675" s="398"/>
      <c r="E675" s="397"/>
    </row>
    <row r="676" spans="1:5">
      <c r="A676" s="401"/>
      <c r="B676" s="453"/>
      <c r="C676" s="429"/>
      <c r="D676" s="398"/>
      <c r="E676" s="397"/>
    </row>
    <row r="677" spans="1:5">
      <c r="A677" s="401"/>
      <c r="B677" s="453"/>
      <c r="C677" s="429"/>
      <c r="D677" s="398"/>
      <c r="E677" s="397"/>
    </row>
    <row r="678" spans="1:5">
      <c r="A678" s="401"/>
      <c r="B678" s="453"/>
      <c r="C678" s="429"/>
      <c r="D678" s="398"/>
      <c r="E678" s="397"/>
    </row>
    <row r="679" spans="1:5">
      <c r="A679" s="401"/>
      <c r="B679" s="453"/>
      <c r="C679" s="429"/>
      <c r="D679" s="398"/>
      <c r="E679" s="397"/>
    </row>
    <row r="680" spans="1:5">
      <c r="A680" s="401"/>
      <c r="B680" s="453"/>
      <c r="C680" s="429"/>
      <c r="D680" s="398"/>
      <c r="E680" s="397"/>
    </row>
    <row r="681" spans="1:5">
      <c r="A681" s="401"/>
      <c r="B681" s="453"/>
      <c r="C681" s="429"/>
      <c r="D681" s="398"/>
      <c r="E681" s="397"/>
    </row>
    <row r="682" spans="1:5">
      <c r="A682" s="401"/>
      <c r="B682" s="453"/>
      <c r="C682" s="429"/>
      <c r="D682" s="398"/>
      <c r="E682" s="397"/>
    </row>
    <row r="683" spans="1:5">
      <c r="A683" s="401"/>
      <c r="B683" s="453"/>
      <c r="C683" s="429"/>
      <c r="D683" s="398"/>
      <c r="E683" s="397"/>
    </row>
    <row r="684" spans="1:5">
      <c r="A684" s="401"/>
      <c r="B684" s="453"/>
      <c r="C684" s="429"/>
      <c r="D684" s="398"/>
      <c r="E684" s="397"/>
    </row>
    <row r="685" spans="1:5">
      <c r="A685" s="401"/>
      <c r="B685" s="453"/>
      <c r="C685" s="429"/>
      <c r="D685" s="398"/>
      <c r="E685" s="397"/>
    </row>
    <row r="686" spans="1:5">
      <c r="A686" s="401"/>
      <c r="B686" s="453"/>
      <c r="C686" s="429"/>
      <c r="D686" s="398"/>
      <c r="E686" s="397"/>
    </row>
    <row r="687" spans="1:5">
      <c r="A687" s="401"/>
      <c r="B687" s="453"/>
      <c r="C687" s="429"/>
      <c r="D687" s="398"/>
      <c r="E687" s="397"/>
    </row>
    <row r="688" spans="1:5">
      <c r="A688" s="401"/>
      <c r="B688" s="453"/>
      <c r="C688" s="429"/>
      <c r="D688" s="398"/>
      <c r="E688" s="397"/>
    </row>
    <row r="689" spans="1:5">
      <c r="A689" s="401"/>
      <c r="B689" s="453"/>
      <c r="C689" s="429"/>
      <c r="D689" s="398"/>
      <c r="E689" s="397"/>
    </row>
    <row r="690" spans="1:5">
      <c r="A690" s="401"/>
      <c r="B690" s="453"/>
      <c r="C690" s="429"/>
      <c r="D690" s="398"/>
      <c r="E690" s="397"/>
    </row>
    <row r="691" spans="1:5">
      <c r="A691" s="401"/>
      <c r="B691" s="453"/>
      <c r="C691" s="429"/>
      <c r="D691" s="398"/>
      <c r="E691" s="397"/>
    </row>
    <row r="692" spans="1:5">
      <c r="A692" s="401"/>
      <c r="B692" s="453"/>
      <c r="C692" s="429"/>
      <c r="D692" s="398"/>
      <c r="E692" s="397"/>
    </row>
    <row r="693" spans="1:5">
      <c r="A693" s="401"/>
      <c r="B693" s="453"/>
      <c r="C693" s="429"/>
      <c r="D693" s="398"/>
      <c r="E693" s="397"/>
    </row>
    <row r="694" spans="1:5">
      <c r="A694" s="401"/>
      <c r="B694" s="453"/>
      <c r="C694" s="429"/>
      <c r="D694" s="398"/>
      <c r="E694" s="397"/>
    </row>
    <row r="695" spans="1:5">
      <c r="A695" s="401"/>
      <c r="B695" s="453"/>
      <c r="C695" s="429"/>
      <c r="D695" s="398"/>
      <c r="E695" s="397"/>
    </row>
    <row r="696" spans="1:5">
      <c r="A696" s="401"/>
      <c r="B696" s="453"/>
      <c r="C696" s="429"/>
      <c r="D696" s="398"/>
      <c r="E696" s="397"/>
    </row>
    <row r="697" spans="1:5">
      <c r="A697" s="401"/>
      <c r="B697" s="453"/>
      <c r="C697" s="429"/>
      <c r="D697" s="398"/>
      <c r="E697" s="397"/>
    </row>
    <row r="698" spans="1:5">
      <c r="A698" s="401"/>
      <c r="B698" s="453"/>
      <c r="C698" s="429"/>
      <c r="D698" s="398"/>
      <c r="E698" s="397"/>
    </row>
    <row r="699" spans="1:5">
      <c r="A699" s="401"/>
      <c r="B699" s="453"/>
      <c r="C699" s="429"/>
      <c r="D699" s="398"/>
      <c r="E699" s="397"/>
    </row>
    <row r="700" spans="1:5">
      <c r="A700" s="401"/>
      <c r="B700" s="453"/>
      <c r="C700" s="429"/>
      <c r="D700" s="398"/>
      <c r="E700" s="397"/>
    </row>
    <row r="701" spans="1:5">
      <c r="A701" s="401"/>
      <c r="B701" s="453"/>
      <c r="C701" s="429"/>
      <c r="D701" s="398"/>
      <c r="E701" s="397"/>
    </row>
    <row r="702" spans="1:5">
      <c r="A702" s="401"/>
      <c r="B702" s="453"/>
      <c r="C702" s="429"/>
      <c r="D702" s="398"/>
      <c r="E702" s="397"/>
    </row>
    <row r="703" spans="1:5">
      <c r="A703" s="401"/>
      <c r="B703" s="453"/>
      <c r="C703" s="429"/>
      <c r="D703" s="398"/>
      <c r="E703" s="397"/>
    </row>
    <row r="704" spans="1:5">
      <c r="A704" s="401"/>
      <c r="B704" s="453"/>
      <c r="C704" s="429"/>
      <c r="D704" s="398"/>
      <c r="E704" s="397"/>
    </row>
    <row r="705" spans="1:5">
      <c r="A705" s="401"/>
      <c r="B705" s="453"/>
      <c r="C705" s="429"/>
      <c r="D705" s="398"/>
      <c r="E705" s="397"/>
    </row>
    <row r="706" spans="1:5">
      <c r="A706" s="401"/>
      <c r="B706" s="453"/>
      <c r="C706" s="429"/>
      <c r="D706" s="398"/>
      <c r="E706" s="397"/>
    </row>
    <row r="707" spans="1:5">
      <c r="A707" s="401"/>
      <c r="B707" s="453"/>
      <c r="C707" s="429"/>
      <c r="D707" s="398"/>
      <c r="E707" s="397"/>
    </row>
    <row r="708" spans="1:5">
      <c r="A708" s="401"/>
      <c r="B708" s="453"/>
      <c r="C708" s="429"/>
      <c r="D708" s="398"/>
      <c r="E708" s="397"/>
    </row>
    <row r="709" spans="1:5">
      <c r="A709" s="401"/>
      <c r="B709" s="453"/>
      <c r="C709" s="429"/>
      <c r="D709" s="398"/>
      <c r="E709" s="397"/>
    </row>
    <row r="710" spans="1:5">
      <c r="A710" s="401"/>
      <c r="B710" s="453"/>
      <c r="C710" s="429"/>
      <c r="D710" s="398"/>
      <c r="E710" s="397"/>
    </row>
    <row r="711" spans="1:5">
      <c r="A711" s="401"/>
      <c r="B711" s="453"/>
      <c r="C711" s="429"/>
      <c r="D711" s="398"/>
      <c r="E711" s="397"/>
    </row>
    <row r="712" spans="1:5">
      <c r="A712" s="401"/>
      <c r="B712" s="453"/>
      <c r="C712" s="429"/>
      <c r="D712" s="398"/>
      <c r="E712" s="397"/>
    </row>
    <row r="713" spans="1:5">
      <c r="A713" s="401"/>
      <c r="B713" s="453"/>
      <c r="C713" s="429"/>
      <c r="D713" s="398"/>
      <c r="E713" s="397"/>
    </row>
    <row r="714" spans="1:5">
      <c r="A714" s="401"/>
      <c r="B714" s="453"/>
      <c r="C714" s="429"/>
      <c r="D714" s="398"/>
      <c r="E714" s="397"/>
    </row>
    <row r="715" spans="1:5">
      <c r="A715" s="401"/>
      <c r="B715" s="453"/>
      <c r="C715" s="429"/>
      <c r="D715" s="398"/>
      <c r="E715" s="397"/>
    </row>
    <row r="716" spans="1:5">
      <c r="A716" s="401"/>
      <c r="B716" s="453"/>
      <c r="C716" s="429"/>
      <c r="D716" s="398"/>
      <c r="E716" s="397"/>
    </row>
    <row r="717" spans="1:5">
      <c r="A717" s="401"/>
      <c r="B717" s="453"/>
      <c r="C717" s="429"/>
      <c r="D717" s="398"/>
      <c r="E717" s="397"/>
    </row>
    <row r="718" spans="1:5">
      <c r="A718" s="401"/>
      <c r="B718" s="453"/>
      <c r="C718" s="429"/>
      <c r="D718" s="398"/>
      <c r="E718" s="397"/>
    </row>
    <row r="719" spans="1:5">
      <c r="A719" s="401"/>
      <c r="B719" s="453"/>
      <c r="C719" s="429"/>
      <c r="D719" s="398"/>
      <c r="E719" s="397"/>
    </row>
    <row r="720" spans="1:5">
      <c r="A720" s="401"/>
      <c r="B720" s="453"/>
      <c r="C720" s="429"/>
      <c r="D720" s="398"/>
      <c r="E720" s="397"/>
    </row>
    <row r="721" spans="1:5">
      <c r="A721" s="401"/>
      <c r="B721" s="453"/>
      <c r="C721" s="429"/>
      <c r="D721" s="398"/>
      <c r="E721" s="397"/>
    </row>
    <row r="722" spans="1:5">
      <c r="A722" s="401"/>
      <c r="B722" s="453"/>
      <c r="C722" s="429"/>
      <c r="D722" s="398"/>
      <c r="E722" s="397"/>
    </row>
    <row r="723" spans="1:5">
      <c r="A723" s="401"/>
      <c r="B723" s="453"/>
      <c r="C723" s="429"/>
      <c r="D723" s="398"/>
      <c r="E723" s="397"/>
    </row>
    <row r="724" spans="1:5">
      <c r="A724" s="401"/>
      <c r="B724" s="453"/>
      <c r="C724" s="429"/>
      <c r="D724" s="398"/>
      <c r="E724" s="397"/>
    </row>
    <row r="725" spans="1:5">
      <c r="A725" s="401"/>
      <c r="B725" s="453"/>
      <c r="C725" s="429"/>
      <c r="D725" s="398"/>
      <c r="E725" s="397"/>
    </row>
    <row r="726" spans="1:5">
      <c r="A726" s="401"/>
      <c r="B726" s="453"/>
      <c r="C726" s="429"/>
      <c r="D726" s="398"/>
      <c r="E726" s="397"/>
    </row>
    <row r="727" spans="1:5">
      <c r="A727" s="401"/>
      <c r="B727" s="453"/>
      <c r="C727" s="429"/>
      <c r="D727" s="398"/>
      <c r="E727" s="397"/>
    </row>
    <row r="728" spans="1:5">
      <c r="A728" s="401"/>
      <c r="B728" s="453"/>
      <c r="C728" s="429"/>
      <c r="D728" s="398"/>
      <c r="E728" s="397"/>
    </row>
    <row r="729" spans="1:5">
      <c r="A729" s="401"/>
      <c r="B729" s="453"/>
      <c r="C729" s="429"/>
      <c r="D729" s="398"/>
      <c r="E729" s="397"/>
    </row>
    <row r="730" spans="1:5">
      <c r="A730" s="401"/>
      <c r="B730" s="453"/>
      <c r="C730" s="429"/>
      <c r="D730" s="398"/>
      <c r="E730" s="397"/>
    </row>
    <row r="731" spans="1:5">
      <c r="A731" s="401"/>
      <c r="B731" s="453"/>
      <c r="C731" s="429"/>
      <c r="D731" s="398"/>
      <c r="E731" s="397"/>
    </row>
    <row r="732" spans="1:5">
      <c r="A732" s="401"/>
      <c r="B732" s="453"/>
      <c r="C732" s="429"/>
      <c r="D732" s="398"/>
      <c r="E732" s="397"/>
    </row>
    <row r="733" spans="1:5">
      <c r="A733" s="401"/>
      <c r="B733" s="453"/>
      <c r="C733" s="429"/>
      <c r="D733" s="398"/>
      <c r="E733" s="397"/>
    </row>
    <row r="734" spans="1:5">
      <c r="A734" s="401"/>
      <c r="B734" s="453"/>
      <c r="C734" s="429"/>
      <c r="D734" s="398"/>
      <c r="E734" s="397"/>
    </row>
    <row r="735" spans="1:5">
      <c r="A735" s="401"/>
      <c r="B735" s="453"/>
      <c r="C735" s="429"/>
      <c r="D735" s="398"/>
      <c r="E735" s="397"/>
    </row>
    <row r="736" spans="1:5">
      <c r="A736" s="401"/>
      <c r="B736" s="453"/>
      <c r="C736" s="429"/>
      <c r="D736" s="398"/>
      <c r="E736" s="397"/>
    </row>
    <row r="737" spans="1:5">
      <c r="A737" s="401"/>
      <c r="B737" s="453"/>
      <c r="C737" s="429"/>
      <c r="D737" s="398"/>
      <c r="E737" s="397"/>
    </row>
    <row r="738" spans="1:5">
      <c r="A738" s="401"/>
      <c r="B738" s="453"/>
      <c r="C738" s="429"/>
      <c r="D738" s="398"/>
      <c r="E738" s="397"/>
    </row>
    <row r="739" spans="1:5">
      <c r="A739" s="401"/>
      <c r="B739" s="453"/>
      <c r="C739" s="429"/>
      <c r="D739" s="398"/>
      <c r="E739" s="397"/>
    </row>
    <row r="740" spans="1:5">
      <c r="A740" s="401"/>
      <c r="B740" s="453"/>
      <c r="C740" s="429"/>
      <c r="D740" s="398"/>
      <c r="E740" s="397"/>
    </row>
    <row r="741" spans="1:5">
      <c r="A741" s="401"/>
      <c r="B741" s="453"/>
      <c r="C741" s="429"/>
      <c r="D741" s="398"/>
      <c r="E741" s="397"/>
    </row>
    <row r="742" spans="1:5">
      <c r="A742" s="401"/>
      <c r="B742" s="453"/>
      <c r="C742" s="429"/>
      <c r="D742" s="398"/>
      <c r="E742" s="397"/>
    </row>
    <row r="743" spans="1:5">
      <c r="A743" s="401"/>
      <c r="B743" s="453"/>
      <c r="C743" s="429"/>
      <c r="D743" s="398"/>
      <c r="E743" s="397"/>
    </row>
    <row r="744" spans="1:5">
      <c r="A744" s="401"/>
      <c r="B744" s="453"/>
      <c r="C744" s="429"/>
      <c r="D744" s="398"/>
      <c r="E744" s="397"/>
    </row>
    <row r="745" spans="1:5">
      <c r="A745" s="401"/>
      <c r="B745" s="453"/>
      <c r="C745" s="429"/>
      <c r="D745" s="398"/>
      <c r="E745" s="397"/>
    </row>
    <row r="746" spans="1:5">
      <c r="A746" s="401"/>
      <c r="B746" s="453"/>
      <c r="C746" s="429"/>
      <c r="D746" s="398"/>
      <c r="E746" s="397"/>
    </row>
    <row r="747" spans="1:5">
      <c r="A747" s="401"/>
      <c r="B747" s="453"/>
      <c r="C747" s="429"/>
      <c r="D747" s="398"/>
      <c r="E747" s="397"/>
    </row>
    <row r="748" spans="1:5">
      <c r="A748" s="401"/>
      <c r="B748" s="453"/>
      <c r="C748" s="429"/>
      <c r="D748" s="398"/>
      <c r="E748" s="397"/>
    </row>
    <row r="749" spans="1:5">
      <c r="A749" s="401"/>
      <c r="B749" s="453"/>
      <c r="C749" s="429"/>
      <c r="D749" s="398"/>
      <c r="E749" s="397"/>
    </row>
    <row r="750" spans="1:5">
      <c r="A750" s="401"/>
      <c r="B750" s="453"/>
      <c r="C750" s="429"/>
      <c r="D750" s="398"/>
      <c r="E750" s="397"/>
    </row>
    <row r="751" spans="1:5">
      <c r="A751" s="401"/>
      <c r="B751" s="453"/>
      <c r="C751" s="429"/>
      <c r="D751" s="398"/>
      <c r="E751" s="397"/>
    </row>
    <row r="752" spans="1:5">
      <c r="A752" s="401"/>
      <c r="B752" s="453"/>
      <c r="C752" s="429"/>
      <c r="D752" s="398"/>
      <c r="E752" s="397"/>
    </row>
    <row r="753" spans="1:5">
      <c r="A753" s="401"/>
      <c r="B753" s="453"/>
      <c r="C753" s="429"/>
      <c r="D753" s="398"/>
      <c r="E753" s="397"/>
    </row>
    <row r="754" spans="1:5">
      <c r="A754" s="401"/>
      <c r="B754" s="453"/>
      <c r="C754" s="429"/>
      <c r="D754" s="398"/>
      <c r="E754" s="397"/>
    </row>
    <row r="755" spans="1:5">
      <c r="A755" s="401"/>
      <c r="B755" s="453"/>
      <c r="C755" s="429"/>
      <c r="D755" s="398"/>
      <c r="E755" s="397"/>
    </row>
    <row r="756" spans="1:5">
      <c r="A756" s="401"/>
      <c r="B756" s="453"/>
      <c r="C756" s="429"/>
      <c r="D756" s="398"/>
      <c r="E756" s="397"/>
    </row>
    <row r="757" spans="1:5">
      <c r="A757" s="401"/>
      <c r="B757" s="453"/>
      <c r="C757" s="429"/>
      <c r="D757" s="398"/>
      <c r="E757" s="397"/>
    </row>
    <row r="758" spans="1:5">
      <c r="A758" s="401"/>
      <c r="B758" s="453"/>
      <c r="C758" s="429"/>
      <c r="D758" s="398"/>
      <c r="E758" s="397"/>
    </row>
    <row r="759" spans="1:5">
      <c r="A759" s="401"/>
      <c r="B759" s="453"/>
      <c r="C759" s="429"/>
      <c r="D759" s="398"/>
      <c r="E759" s="397"/>
    </row>
    <row r="760" spans="1:5">
      <c r="A760" s="401"/>
      <c r="B760" s="453"/>
      <c r="C760" s="429"/>
      <c r="D760" s="398"/>
      <c r="E760" s="397"/>
    </row>
    <row r="761" spans="1:5">
      <c r="A761" s="401"/>
      <c r="B761" s="453"/>
      <c r="C761" s="429"/>
      <c r="D761" s="398"/>
      <c r="E761" s="397"/>
    </row>
    <row r="762" spans="1:5">
      <c r="A762" s="401"/>
      <c r="B762" s="453"/>
      <c r="C762" s="429"/>
      <c r="D762" s="398"/>
      <c r="E762" s="397"/>
    </row>
    <row r="763" spans="1:5">
      <c r="A763" s="401"/>
      <c r="B763" s="453"/>
      <c r="C763" s="429"/>
      <c r="D763" s="398"/>
      <c r="E763" s="397"/>
    </row>
    <row r="764" spans="1:5">
      <c r="A764" s="401"/>
      <c r="B764" s="453"/>
      <c r="C764" s="429"/>
      <c r="D764" s="398"/>
      <c r="E764" s="397"/>
    </row>
    <row r="765" spans="1:5">
      <c r="A765" s="401"/>
      <c r="B765" s="453"/>
      <c r="C765" s="429"/>
      <c r="D765" s="398"/>
      <c r="E765" s="397"/>
    </row>
    <row r="766" spans="1:5">
      <c r="A766" s="401"/>
      <c r="B766" s="453"/>
      <c r="C766" s="429"/>
      <c r="D766" s="398"/>
      <c r="E766" s="397"/>
    </row>
    <row r="767" spans="1:5">
      <c r="A767" s="401"/>
      <c r="B767" s="453"/>
      <c r="C767" s="429"/>
      <c r="D767" s="398"/>
      <c r="E767" s="397"/>
    </row>
    <row r="768" spans="1:5">
      <c r="A768" s="401"/>
      <c r="B768" s="453"/>
      <c r="C768" s="429"/>
      <c r="D768" s="398"/>
      <c r="E768" s="397"/>
    </row>
    <row r="769" spans="1:5">
      <c r="A769" s="401"/>
      <c r="B769" s="453"/>
      <c r="C769" s="429"/>
      <c r="D769" s="398"/>
      <c r="E769" s="397"/>
    </row>
    <row r="770" spans="1:5">
      <c r="A770" s="401"/>
      <c r="B770" s="453"/>
      <c r="C770" s="429"/>
      <c r="D770" s="398"/>
      <c r="E770" s="397"/>
    </row>
    <row r="771" spans="1:5">
      <c r="A771" s="401"/>
      <c r="B771" s="453"/>
      <c r="C771" s="429"/>
      <c r="D771" s="398"/>
      <c r="E771" s="397"/>
    </row>
    <row r="772" spans="1:5">
      <c r="A772" s="401"/>
      <c r="B772" s="453"/>
      <c r="C772" s="429"/>
      <c r="D772" s="398"/>
      <c r="E772" s="397"/>
    </row>
    <row r="773" spans="1:5">
      <c r="A773" s="401"/>
      <c r="B773" s="453"/>
      <c r="C773" s="429"/>
      <c r="D773" s="398"/>
      <c r="E773" s="397"/>
    </row>
    <row r="774" spans="1:5">
      <c r="A774" s="401"/>
      <c r="B774" s="453"/>
      <c r="C774" s="429"/>
      <c r="D774" s="398"/>
      <c r="E774" s="397"/>
    </row>
    <row r="775" spans="1:5">
      <c r="A775" s="401"/>
      <c r="B775" s="453"/>
      <c r="C775" s="429"/>
      <c r="D775" s="398"/>
      <c r="E775" s="397"/>
    </row>
    <row r="776" spans="1:5">
      <c r="A776" s="401"/>
      <c r="B776" s="453"/>
      <c r="C776" s="429"/>
      <c r="D776" s="398"/>
      <c r="E776" s="397"/>
    </row>
    <row r="777" spans="1:5">
      <c r="A777" s="401"/>
      <c r="B777" s="453"/>
      <c r="C777" s="429"/>
      <c r="D777" s="398"/>
      <c r="E777" s="397"/>
    </row>
    <row r="778" spans="1:5">
      <c r="A778" s="401"/>
      <c r="B778" s="453"/>
      <c r="C778" s="429"/>
      <c r="D778" s="398"/>
      <c r="E778" s="397"/>
    </row>
    <row r="779" spans="1:5">
      <c r="A779" s="401"/>
      <c r="B779" s="453"/>
      <c r="C779" s="429"/>
      <c r="D779" s="398"/>
      <c r="E779" s="397"/>
    </row>
    <row r="780" spans="1:5">
      <c r="A780" s="401"/>
      <c r="B780" s="453"/>
      <c r="C780" s="429"/>
      <c r="D780" s="398"/>
      <c r="E780" s="397"/>
    </row>
    <row r="781" spans="1:5">
      <c r="A781" s="401"/>
      <c r="B781" s="453"/>
      <c r="C781" s="429"/>
      <c r="D781" s="398"/>
      <c r="E781" s="397"/>
    </row>
    <row r="782" spans="1:5">
      <c r="A782" s="401"/>
      <c r="B782" s="453"/>
      <c r="C782" s="429"/>
      <c r="D782" s="398"/>
      <c r="E782" s="397"/>
    </row>
    <row r="783" spans="1:5">
      <c r="A783" s="401"/>
      <c r="B783" s="453"/>
      <c r="C783" s="429"/>
      <c r="D783" s="398"/>
      <c r="E783" s="397"/>
    </row>
    <row r="784" spans="1:5">
      <c r="A784" s="401"/>
      <c r="B784" s="453"/>
      <c r="C784" s="429"/>
      <c r="D784" s="398"/>
      <c r="E784" s="397"/>
    </row>
    <row r="785" spans="1:5">
      <c r="A785" s="401"/>
      <c r="B785" s="453"/>
      <c r="C785" s="429"/>
      <c r="D785" s="398"/>
      <c r="E785" s="397"/>
    </row>
    <row r="786" spans="1:5">
      <c r="A786" s="401"/>
      <c r="B786" s="453"/>
      <c r="C786" s="429"/>
      <c r="D786" s="398"/>
      <c r="E786" s="397"/>
    </row>
    <row r="787" spans="1:5">
      <c r="A787" s="401"/>
      <c r="B787" s="453"/>
      <c r="C787" s="429"/>
      <c r="D787" s="398"/>
      <c r="E787" s="397"/>
    </row>
    <row r="788" spans="1:5">
      <c r="A788" s="401"/>
      <c r="B788" s="453"/>
      <c r="C788" s="429"/>
      <c r="D788" s="398"/>
      <c r="E788" s="397"/>
    </row>
    <row r="789" spans="1:5">
      <c r="A789" s="401"/>
      <c r="B789" s="453"/>
      <c r="C789" s="429"/>
      <c r="D789" s="398"/>
      <c r="E789" s="397"/>
    </row>
    <row r="790" spans="1:5">
      <c r="A790" s="401"/>
      <c r="B790" s="453"/>
      <c r="C790" s="429"/>
      <c r="D790" s="398"/>
      <c r="E790" s="397"/>
    </row>
    <row r="791" spans="1:5">
      <c r="A791" s="401"/>
      <c r="B791" s="453"/>
      <c r="C791" s="429"/>
      <c r="D791" s="398"/>
      <c r="E791" s="397"/>
    </row>
    <row r="792" spans="1:5">
      <c r="A792" s="401"/>
      <c r="B792" s="453"/>
      <c r="C792" s="429"/>
      <c r="D792" s="398"/>
      <c r="E792" s="397"/>
    </row>
    <row r="793" spans="1:5">
      <c r="A793" s="401"/>
      <c r="B793" s="453"/>
      <c r="C793" s="429"/>
      <c r="D793" s="398"/>
      <c r="E793" s="397"/>
    </row>
    <row r="794" spans="1:5">
      <c r="A794" s="401"/>
      <c r="B794" s="453"/>
      <c r="C794" s="429"/>
      <c r="D794" s="398"/>
      <c r="E794" s="397"/>
    </row>
    <row r="795" spans="1:5">
      <c r="A795" s="401"/>
      <c r="B795" s="453"/>
      <c r="C795" s="429"/>
      <c r="D795" s="398"/>
      <c r="E795" s="397"/>
    </row>
    <row r="796" spans="1:5">
      <c r="A796" s="401"/>
      <c r="B796" s="453"/>
      <c r="C796" s="429"/>
      <c r="D796" s="398"/>
      <c r="E796" s="397"/>
    </row>
    <row r="797" spans="1:5">
      <c r="A797" s="401"/>
      <c r="B797" s="453"/>
      <c r="C797" s="429"/>
      <c r="D797" s="398"/>
      <c r="E797" s="397"/>
    </row>
    <row r="798" spans="1:5">
      <c r="A798" s="401"/>
      <c r="B798" s="453"/>
      <c r="C798" s="429"/>
      <c r="D798" s="398"/>
      <c r="E798" s="397"/>
    </row>
    <row r="799" spans="1:5">
      <c r="A799" s="401"/>
      <c r="B799" s="453"/>
      <c r="C799" s="429"/>
      <c r="D799" s="398"/>
      <c r="E799" s="397"/>
    </row>
    <row r="800" spans="1:5">
      <c r="A800" s="401"/>
      <c r="B800" s="453"/>
      <c r="C800" s="429"/>
      <c r="D800" s="398"/>
      <c r="E800" s="397"/>
    </row>
    <row r="801" spans="1:5">
      <c r="A801" s="401"/>
      <c r="B801" s="453"/>
      <c r="C801" s="429"/>
      <c r="D801" s="398"/>
      <c r="E801" s="397"/>
    </row>
    <row r="802" spans="1:5">
      <c r="A802" s="401"/>
      <c r="B802" s="453"/>
      <c r="C802" s="429"/>
      <c r="D802" s="398"/>
      <c r="E802" s="397"/>
    </row>
    <row r="803" spans="1:5">
      <c r="A803" s="401"/>
      <c r="B803" s="453"/>
      <c r="C803" s="429"/>
      <c r="D803" s="398"/>
      <c r="E803" s="397"/>
    </row>
    <row r="804" spans="1:5">
      <c r="A804" s="401"/>
      <c r="B804" s="453"/>
      <c r="C804" s="429"/>
      <c r="D804" s="398"/>
      <c r="E804" s="397"/>
    </row>
    <row r="805" spans="1:5">
      <c r="A805" s="401"/>
      <c r="B805" s="453"/>
      <c r="C805" s="429"/>
      <c r="D805" s="398"/>
      <c r="E805" s="397"/>
    </row>
    <row r="806" spans="1:5">
      <c r="A806" s="401"/>
      <c r="B806" s="453"/>
      <c r="C806" s="429"/>
      <c r="D806" s="398"/>
      <c r="E806" s="397"/>
    </row>
    <row r="807" spans="1:5">
      <c r="A807" s="401"/>
      <c r="B807" s="453"/>
      <c r="C807" s="429"/>
      <c r="D807" s="398"/>
      <c r="E807" s="397"/>
    </row>
    <row r="808" spans="1:5">
      <c r="A808" s="401"/>
      <c r="B808" s="453"/>
      <c r="C808" s="429"/>
      <c r="D808" s="398"/>
      <c r="E808" s="397"/>
    </row>
    <row r="809" spans="1:5">
      <c r="A809" s="401"/>
      <c r="B809" s="453"/>
      <c r="C809" s="429"/>
      <c r="D809" s="398"/>
      <c r="E809" s="397"/>
    </row>
    <row r="810" spans="1:5">
      <c r="A810" s="401"/>
      <c r="B810" s="453"/>
      <c r="C810" s="429"/>
      <c r="D810" s="398"/>
      <c r="E810" s="397"/>
    </row>
    <row r="811" spans="1:5">
      <c r="A811" s="401"/>
      <c r="B811" s="453"/>
      <c r="C811" s="429"/>
      <c r="D811" s="398"/>
      <c r="E811" s="397"/>
    </row>
    <row r="812" spans="1:5">
      <c r="A812" s="401"/>
      <c r="B812" s="453"/>
      <c r="C812" s="429"/>
      <c r="D812" s="398"/>
      <c r="E812" s="397"/>
    </row>
    <row r="813" spans="1:5">
      <c r="A813" s="401"/>
      <c r="B813" s="453"/>
      <c r="C813" s="429"/>
      <c r="D813" s="398"/>
      <c r="E813" s="397"/>
    </row>
    <row r="814" spans="1:5">
      <c r="A814" s="401"/>
      <c r="B814" s="453"/>
      <c r="C814" s="429"/>
      <c r="D814" s="398"/>
      <c r="E814" s="397"/>
    </row>
    <row r="815" spans="1:5">
      <c r="A815" s="401"/>
      <c r="B815" s="453"/>
      <c r="C815" s="429"/>
      <c r="D815" s="398"/>
      <c r="E815" s="397"/>
    </row>
    <row r="816" spans="1:5">
      <c r="A816" s="401"/>
      <c r="B816" s="453"/>
      <c r="C816" s="429"/>
      <c r="D816" s="398"/>
      <c r="E816" s="397"/>
    </row>
    <row r="817" spans="1:5">
      <c r="A817" s="401"/>
      <c r="B817" s="453"/>
      <c r="C817" s="429"/>
      <c r="D817" s="398"/>
      <c r="E817" s="397"/>
    </row>
    <row r="818" spans="1:5">
      <c r="A818" s="401"/>
      <c r="B818" s="453"/>
      <c r="C818" s="429"/>
      <c r="D818" s="398"/>
      <c r="E818" s="397"/>
    </row>
    <row r="819" spans="1:5">
      <c r="A819" s="401"/>
      <c r="B819" s="453"/>
      <c r="C819" s="429"/>
      <c r="D819" s="398"/>
      <c r="E819" s="397"/>
    </row>
    <row r="820" spans="1:5">
      <c r="A820" s="401"/>
      <c r="B820" s="453"/>
      <c r="C820" s="429"/>
      <c r="D820" s="398"/>
      <c r="E820" s="397"/>
    </row>
    <row r="821" spans="1:5">
      <c r="A821" s="401"/>
      <c r="B821" s="453"/>
      <c r="C821" s="429"/>
      <c r="D821" s="398"/>
      <c r="E821" s="397"/>
    </row>
    <row r="822" spans="1:5">
      <c r="A822" s="401"/>
      <c r="B822" s="453"/>
      <c r="C822" s="429"/>
      <c r="D822" s="398"/>
      <c r="E822" s="397"/>
    </row>
    <row r="823" spans="1:5">
      <c r="A823" s="401"/>
      <c r="B823" s="453"/>
      <c r="C823" s="429"/>
      <c r="D823" s="398"/>
      <c r="E823" s="397"/>
    </row>
    <row r="824" spans="1:5">
      <c r="A824" s="401"/>
      <c r="B824" s="453"/>
      <c r="C824" s="429"/>
      <c r="D824" s="398"/>
      <c r="E824" s="397"/>
    </row>
    <row r="825" spans="1:5">
      <c r="A825" s="401"/>
      <c r="B825" s="453"/>
      <c r="C825" s="429"/>
      <c r="D825" s="398"/>
      <c r="E825" s="397"/>
    </row>
    <row r="826" spans="1:5">
      <c r="A826" s="401"/>
      <c r="B826" s="453"/>
      <c r="C826" s="429"/>
      <c r="D826" s="398"/>
      <c r="E826" s="397"/>
    </row>
    <row r="827" spans="1:5">
      <c r="A827" s="401"/>
      <c r="B827" s="453"/>
      <c r="C827" s="429"/>
      <c r="D827" s="398"/>
      <c r="E827" s="397"/>
    </row>
    <row r="828" spans="1:5">
      <c r="A828" s="401"/>
      <c r="B828" s="453"/>
      <c r="C828" s="429"/>
      <c r="D828" s="398"/>
      <c r="E828" s="397"/>
    </row>
    <row r="829" spans="1:5">
      <c r="A829" s="401"/>
      <c r="B829" s="453"/>
      <c r="C829" s="429"/>
      <c r="D829" s="398"/>
      <c r="E829" s="397"/>
    </row>
    <row r="830" spans="1:5">
      <c r="A830" s="401"/>
      <c r="B830" s="453"/>
      <c r="C830" s="429"/>
      <c r="D830" s="398"/>
      <c r="E830" s="397"/>
    </row>
    <row r="831" spans="1:5">
      <c r="A831" s="401"/>
      <c r="B831" s="453"/>
      <c r="C831" s="429"/>
      <c r="D831" s="398"/>
      <c r="E831" s="397"/>
    </row>
    <row r="832" spans="1:5">
      <c r="A832" s="401"/>
      <c r="B832" s="453"/>
      <c r="C832" s="429"/>
      <c r="D832" s="398"/>
      <c r="E832" s="397"/>
    </row>
    <row r="833" spans="1:5">
      <c r="A833" s="401"/>
      <c r="B833" s="453"/>
      <c r="C833" s="429"/>
      <c r="D833" s="398"/>
      <c r="E833" s="397"/>
    </row>
    <row r="834" spans="1:5">
      <c r="A834" s="401"/>
      <c r="B834" s="453"/>
      <c r="C834" s="429"/>
      <c r="D834" s="398"/>
      <c r="E834" s="397"/>
    </row>
    <row r="835" spans="1:5">
      <c r="A835" s="401"/>
      <c r="B835" s="453"/>
      <c r="C835" s="429"/>
      <c r="D835" s="398"/>
      <c r="E835" s="397"/>
    </row>
    <row r="836" spans="1:5">
      <c r="A836" s="401"/>
      <c r="B836" s="453"/>
      <c r="C836" s="429"/>
      <c r="D836" s="398"/>
      <c r="E836" s="397"/>
    </row>
    <row r="837" spans="1:5">
      <c r="A837" s="401"/>
      <c r="B837" s="453"/>
      <c r="C837" s="429"/>
      <c r="D837" s="398"/>
      <c r="E837" s="397"/>
    </row>
    <row r="838" spans="1:5">
      <c r="A838" s="401"/>
      <c r="B838" s="453"/>
      <c r="C838" s="429"/>
      <c r="D838" s="398"/>
      <c r="E838" s="397"/>
    </row>
    <row r="839" spans="1:5">
      <c r="A839" s="401"/>
      <c r="B839" s="453"/>
      <c r="C839" s="429"/>
      <c r="D839" s="398"/>
      <c r="E839" s="397"/>
    </row>
    <row r="840" spans="1:5">
      <c r="A840" s="401"/>
      <c r="B840" s="453"/>
      <c r="C840" s="429"/>
      <c r="D840" s="398"/>
      <c r="E840" s="397"/>
    </row>
    <row r="841" spans="1:5">
      <c r="A841" s="401"/>
      <c r="B841" s="453"/>
      <c r="C841" s="429"/>
      <c r="D841" s="398"/>
      <c r="E841" s="397"/>
    </row>
    <row r="842" spans="1:5">
      <c r="A842" s="401"/>
      <c r="B842" s="453"/>
      <c r="C842" s="429"/>
      <c r="D842" s="398"/>
      <c r="E842" s="397"/>
    </row>
    <row r="843" spans="1:5">
      <c r="A843" s="401"/>
      <c r="B843" s="453"/>
      <c r="C843" s="429"/>
      <c r="D843" s="398"/>
      <c r="E843" s="397"/>
    </row>
    <row r="844" spans="1:5">
      <c r="A844" s="401"/>
      <c r="B844" s="453"/>
      <c r="C844" s="429"/>
      <c r="D844" s="398"/>
      <c r="E844" s="397"/>
    </row>
    <row r="845" spans="1:5">
      <c r="A845" s="401"/>
      <c r="B845" s="453"/>
      <c r="C845" s="429"/>
      <c r="D845" s="398"/>
      <c r="E845" s="397"/>
    </row>
    <row r="846" spans="1:5">
      <c r="A846" s="401"/>
      <c r="B846" s="453"/>
      <c r="C846" s="429"/>
      <c r="D846" s="398"/>
      <c r="E846" s="397"/>
    </row>
    <row r="847" spans="1:5">
      <c r="A847" s="401"/>
      <c r="B847" s="453"/>
      <c r="C847" s="429"/>
      <c r="D847" s="398"/>
      <c r="E847" s="397"/>
    </row>
    <row r="848" spans="1:5">
      <c r="A848" s="401"/>
      <c r="B848" s="453"/>
      <c r="C848" s="429"/>
      <c r="D848" s="398"/>
      <c r="E848" s="397"/>
    </row>
    <row r="849" spans="1:5">
      <c r="A849" s="401"/>
      <c r="B849" s="453"/>
      <c r="C849" s="429"/>
      <c r="D849" s="398"/>
      <c r="E849" s="397"/>
    </row>
    <row r="850" spans="1:5">
      <c r="A850" s="401"/>
      <c r="B850" s="453"/>
      <c r="C850" s="429"/>
      <c r="D850" s="398"/>
      <c r="E850" s="397"/>
    </row>
    <row r="851" spans="1:5">
      <c r="A851" s="401"/>
      <c r="B851" s="453"/>
      <c r="C851" s="429"/>
      <c r="D851" s="398"/>
      <c r="E851" s="397"/>
    </row>
    <row r="852" spans="1:5">
      <c r="A852" s="401"/>
      <c r="B852" s="453"/>
      <c r="C852" s="429"/>
      <c r="D852" s="398"/>
      <c r="E852" s="397"/>
    </row>
    <row r="853" spans="1:5">
      <c r="A853" s="401"/>
      <c r="B853" s="453"/>
      <c r="C853" s="429"/>
      <c r="D853" s="398"/>
      <c r="E853" s="397"/>
    </row>
    <row r="854" spans="1:5">
      <c r="A854" s="401"/>
      <c r="B854" s="453"/>
      <c r="C854" s="429"/>
      <c r="D854" s="398"/>
      <c r="E854" s="397"/>
    </row>
    <row r="855" spans="1:5">
      <c r="A855" s="401"/>
      <c r="B855" s="453"/>
      <c r="C855" s="429"/>
      <c r="D855" s="398"/>
      <c r="E855" s="397"/>
    </row>
    <row r="856" spans="1:5">
      <c r="A856" s="401"/>
      <c r="B856" s="453"/>
      <c r="C856" s="429"/>
      <c r="D856" s="398"/>
      <c r="E856" s="397"/>
    </row>
    <row r="857" spans="1:5">
      <c r="A857" s="401"/>
      <c r="B857" s="453"/>
      <c r="C857" s="429"/>
      <c r="D857" s="398"/>
      <c r="E857" s="397"/>
    </row>
    <row r="858" spans="1:5">
      <c r="A858" s="401"/>
      <c r="B858" s="453"/>
      <c r="C858" s="429"/>
      <c r="D858" s="398"/>
      <c r="E858" s="397"/>
    </row>
    <row r="859" spans="1:5">
      <c r="A859" s="401"/>
      <c r="B859" s="453"/>
      <c r="C859" s="429"/>
      <c r="D859" s="398"/>
      <c r="E859" s="397"/>
    </row>
    <row r="860" spans="1:5">
      <c r="A860" s="401"/>
      <c r="B860" s="453"/>
      <c r="C860" s="429"/>
      <c r="D860" s="398"/>
      <c r="E860" s="397"/>
    </row>
    <row r="861" spans="1:5">
      <c r="A861" s="401"/>
      <c r="B861" s="453"/>
      <c r="C861" s="429"/>
      <c r="D861" s="398"/>
      <c r="E861" s="397"/>
    </row>
    <row r="862" spans="1:5">
      <c r="A862" s="401"/>
      <c r="B862" s="453"/>
      <c r="C862" s="429"/>
      <c r="D862" s="398"/>
      <c r="E862" s="397"/>
    </row>
    <row r="863" spans="1:5">
      <c r="A863" s="401"/>
      <c r="B863" s="453"/>
      <c r="C863" s="429"/>
      <c r="D863" s="398"/>
      <c r="E863" s="397"/>
    </row>
    <row r="864" spans="1:5">
      <c r="A864" s="401"/>
      <c r="B864" s="453"/>
      <c r="C864" s="429"/>
      <c r="D864" s="398"/>
      <c r="E864" s="397"/>
    </row>
    <row r="865" spans="1:5">
      <c r="A865" s="401"/>
      <c r="B865" s="453"/>
      <c r="C865" s="429"/>
      <c r="D865" s="398"/>
      <c r="E865" s="397"/>
    </row>
    <row r="866" spans="1:5">
      <c r="A866" s="401"/>
      <c r="B866" s="453"/>
      <c r="C866" s="429"/>
      <c r="D866" s="398"/>
      <c r="E866" s="397"/>
    </row>
    <row r="867" spans="1:5">
      <c r="A867" s="401"/>
      <c r="B867" s="453"/>
      <c r="C867" s="429"/>
      <c r="D867" s="398"/>
      <c r="E867" s="397"/>
    </row>
    <row r="868" spans="1:5">
      <c r="A868" s="401"/>
      <c r="B868" s="453"/>
      <c r="C868" s="429"/>
      <c r="D868" s="398"/>
      <c r="E868" s="397"/>
    </row>
    <row r="869" spans="1:5">
      <c r="A869" s="401"/>
      <c r="B869" s="453"/>
      <c r="C869" s="429"/>
      <c r="D869" s="398"/>
      <c r="E869" s="397"/>
    </row>
    <row r="870" spans="1:5">
      <c r="A870" s="401"/>
      <c r="B870" s="453"/>
      <c r="C870" s="429"/>
      <c r="D870" s="398"/>
      <c r="E870" s="397"/>
    </row>
    <row r="871" spans="1:5">
      <c r="A871" s="401"/>
      <c r="B871" s="453"/>
      <c r="C871" s="429"/>
      <c r="D871" s="398"/>
      <c r="E871" s="397"/>
    </row>
    <row r="872" spans="1:5">
      <c r="A872" s="401"/>
      <c r="B872" s="453"/>
      <c r="C872" s="429"/>
      <c r="D872" s="398"/>
      <c r="E872" s="397"/>
    </row>
    <row r="873" spans="1:5">
      <c r="A873" s="401"/>
      <c r="B873" s="453"/>
      <c r="C873" s="429"/>
      <c r="D873" s="398"/>
      <c r="E873" s="397"/>
    </row>
    <row r="874" spans="1:5">
      <c r="A874" s="401"/>
      <c r="B874" s="453"/>
      <c r="C874" s="429"/>
      <c r="D874" s="398"/>
      <c r="E874" s="397"/>
    </row>
    <row r="875" spans="1:5">
      <c r="A875" s="401"/>
      <c r="B875" s="453"/>
      <c r="C875" s="429"/>
      <c r="D875" s="398"/>
      <c r="E875" s="397"/>
    </row>
    <row r="876" spans="1:5">
      <c r="A876" s="401"/>
      <c r="B876" s="453"/>
      <c r="C876" s="429"/>
      <c r="D876" s="398"/>
      <c r="E876" s="397"/>
    </row>
    <row r="877" spans="1:5">
      <c r="A877" s="401"/>
      <c r="B877" s="453"/>
      <c r="C877" s="429"/>
      <c r="D877" s="398"/>
      <c r="E877" s="397"/>
    </row>
    <row r="878" spans="1:5">
      <c r="A878" s="401"/>
      <c r="B878" s="453"/>
      <c r="C878" s="429"/>
      <c r="D878" s="398"/>
      <c r="E878" s="397"/>
    </row>
    <row r="879" spans="1:5">
      <c r="A879" s="401"/>
      <c r="B879" s="453"/>
      <c r="C879" s="429"/>
      <c r="D879" s="398"/>
      <c r="E879" s="397"/>
    </row>
    <row r="880" spans="1:5">
      <c r="A880" s="401"/>
      <c r="B880" s="453"/>
      <c r="C880" s="429"/>
      <c r="D880" s="398"/>
      <c r="E880" s="397"/>
    </row>
    <row r="881" spans="1:5">
      <c r="A881" s="401"/>
      <c r="B881" s="453"/>
      <c r="C881" s="429"/>
      <c r="D881" s="398"/>
      <c r="E881" s="397"/>
    </row>
    <row r="882" spans="1:5">
      <c r="A882" s="401"/>
      <c r="B882" s="453"/>
      <c r="C882" s="429"/>
      <c r="D882" s="398"/>
      <c r="E882" s="397"/>
    </row>
    <row r="883" spans="1:5">
      <c r="A883" s="401"/>
      <c r="B883" s="453"/>
      <c r="C883" s="429"/>
      <c r="D883" s="398"/>
      <c r="E883" s="397"/>
    </row>
    <row r="884" spans="1:5">
      <c r="A884" s="401"/>
      <c r="B884" s="453"/>
      <c r="C884" s="429"/>
      <c r="D884" s="398"/>
      <c r="E884" s="397"/>
    </row>
    <row r="885" spans="1:5">
      <c r="A885" s="401"/>
      <c r="B885" s="453"/>
      <c r="C885" s="429"/>
      <c r="D885" s="398"/>
      <c r="E885" s="397"/>
    </row>
    <row r="886" spans="1:5">
      <c r="A886" s="401"/>
      <c r="B886" s="453"/>
      <c r="C886" s="429"/>
      <c r="D886" s="398"/>
      <c r="E886" s="397"/>
    </row>
    <row r="887" spans="1:5">
      <c r="A887" s="401"/>
      <c r="B887" s="453"/>
      <c r="C887" s="429"/>
      <c r="D887" s="398"/>
      <c r="E887" s="397"/>
    </row>
    <row r="888" spans="1:5">
      <c r="A888" s="401"/>
      <c r="B888" s="453"/>
      <c r="C888" s="429"/>
      <c r="D888" s="398"/>
      <c r="E888" s="397"/>
    </row>
    <row r="889" spans="1:5">
      <c r="A889" s="401"/>
      <c r="B889" s="453"/>
      <c r="C889" s="429"/>
      <c r="D889" s="398"/>
      <c r="E889" s="397"/>
    </row>
    <row r="890" spans="1:5">
      <c r="A890" s="401"/>
      <c r="B890" s="453"/>
      <c r="C890" s="429"/>
      <c r="D890" s="398"/>
      <c r="E890" s="397"/>
    </row>
    <row r="891" spans="1:5">
      <c r="A891" s="401"/>
      <c r="B891" s="453"/>
      <c r="C891" s="429"/>
      <c r="D891" s="398"/>
      <c r="E891" s="397"/>
    </row>
    <row r="892" spans="1:5">
      <c r="A892" s="401"/>
      <c r="B892" s="453"/>
      <c r="C892" s="429"/>
      <c r="D892" s="398"/>
      <c r="E892" s="397"/>
    </row>
    <row r="893" spans="1:5">
      <c r="A893" s="401"/>
      <c r="B893" s="453"/>
      <c r="C893" s="429"/>
      <c r="D893" s="398"/>
      <c r="E893" s="397"/>
    </row>
    <row r="894" spans="1:5">
      <c r="A894" s="401"/>
      <c r="B894" s="453"/>
      <c r="C894" s="429"/>
      <c r="D894" s="398"/>
      <c r="E894" s="397"/>
    </row>
    <row r="895" spans="1:5">
      <c r="A895" s="401"/>
      <c r="B895" s="453"/>
      <c r="C895" s="429"/>
      <c r="D895" s="398"/>
      <c r="E895" s="397"/>
    </row>
    <row r="896" spans="1:5">
      <c r="A896" s="401"/>
      <c r="B896" s="453"/>
      <c r="C896" s="429"/>
      <c r="D896" s="398"/>
      <c r="E896" s="397"/>
    </row>
    <row r="897" spans="1:5">
      <c r="A897" s="401"/>
      <c r="B897" s="453"/>
      <c r="C897" s="429"/>
      <c r="D897" s="398"/>
      <c r="E897" s="397"/>
    </row>
    <row r="898" spans="1:5">
      <c r="A898" s="401"/>
      <c r="B898" s="453"/>
      <c r="C898" s="429"/>
      <c r="D898" s="398"/>
      <c r="E898" s="397"/>
    </row>
    <row r="899" spans="1:5">
      <c r="A899" s="401"/>
      <c r="B899" s="453"/>
      <c r="C899" s="429"/>
      <c r="D899" s="398"/>
      <c r="E899" s="397"/>
    </row>
    <row r="900" spans="1:5">
      <c r="A900" s="401"/>
      <c r="B900" s="453"/>
      <c r="C900" s="429"/>
      <c r="D900" s="398"/>
      <c r="E900" s="397"/>
    </row>
    <row r="901" spans="1:5">
      <c r="A901" s="401"/>
      <c r="B901" s="453"/>
      <c r="C901" s="429"/>
      <c r="D901" s="398"/>
      <c r="E901" s="397"/>
    </row>
    <row r="902" spans="1:5">
      <c r="A902" s="401"/>
      <c r="B902" s="453"/>
      <c r="C902" s="429"/>
      <c r="D902" s="398"/>
      <c r="E902" s="397"/>
    </row>
    <row r="903" spans="1:5">
      <c r="A903" s="401"/>
      <c r="B903" s="453"/>
      <c r="C903" s="429"/>
      <c r="D903" s="398"/>
      <c r="E903" s="397"/>
    </row>
    <row r="904" spans="1:5">
      <c r="A904" s="401"/>
      <c r="B904" s="453"/>
      <c r="C904" s="429"/>
      <c r="D904" s="398"/>
      <c r="E904" s="397"/>
    </row>
    <row r="905" spans="1:5">
      <c r="A905" s="401"/>
      <c r="B905" s="453"/>
      <c r="C905" s="429"/>
      <c r="D905" s="398"/>
      <c r="E905" s="397"/>
    </row>
    <row r="906" spans="1:5">
      <c r="A906" s="401"/>
      <c r="B906" s="453"/>
      <c r="C906" s="429"/>
      <c r="D906" s="398"/>
      <c r="E906" s="397"/>
    </row>
    <row r="907" spans="1:5">
      <c r="A907" s="401"/>
      <c r="B907" s="453"/>
      <c r="C907" s="429"/>
      <c r="D907" s="398"/>
      <c r="E907" s="397"/>
    </row>
    <row r="908" spans="1:5">
      <c r="A908" s="401"/>
      <c r="B908" s="453"/>
      <c r="C908" s="429"/>
      <c r="D908" s="398"/>
      <c r="E908" s="397"/>
    </row>
    <row r="909" spans="1:5">
      <c r="A909" s="401"/>
      <c r="B909" s="453"/>
      <c r="C909" s="429"/>
      <c r="D909" s="398"/>
      <c r="E909" s="397"/>
    </row>
    <row r="910" spans="1:5">
      <c r="A910" s="401"/>
      <c r="B910" s="453"/>
      <c r="C910" s="429"/>
      <c r="D910" s="398"/>
      <c r="E910" s="397"/>
    </row>
    <row r="911" spans="1:5">
      <c r="A911" s="401"/>
      <c r="B911" s="453"/>
      <c r="C911" s="429"/>
      <c r="D911" s="398"/>
      <c r="E911" s="397"/>
    </row>
    <row r="912" spans="1:5">
      <c r="A912" s="401"/>
      <c r="B912" s="453"/>
      <c r="C912" s="429"/>
      <c r="D912" s="398"/>
      <c r="E912" s="397"/>
    </row>
    <row r="913" spans="1:5">
      <c r="A913" s="401"/>
      <c r="B913" s="453"/>
      <c r="C913" s="429"/>
      <c r="D913" s="398"/>
      <c r="E913" s="397"/>
    </row>
    <row r="914" spans="1:5">
      <c r="A914" s="401"/>
      <c r="B914" s="453"/>
      <c r="C914" s="429"/>
      <c r="D914" s="398"/>
      <c r="E914" s="397"/>
    </row>
    <row r="915" spans="1:5">
      <c r="A915" s="401"/>
      <c r="B915" s="453"/>
      <c r="C915" s="429"/>
      <c r="D915" s="398"/>
      <c r="E915" s="397"/>
    </row>
    <row r="916" spans="1:5">
      <c r="A916" s="401"/>
      <c r="B916" s="453"/>
      <c r="C916" s="429"/>
      <c r="D916" s="398"/>
      <c r="E916" s="397"/>
    </row>
    <row r="917" spans="1:5">
      <c r="A917" s="401"/>
      <c r="B917" s="453"/>
      <c r="C917" s="429"/>
      <c r="D917" s="398"/>
      <c r="E917" s="397"/>
    </row>
    <row r="918" spans="1:5">
      <c r="A918" s="401"/>
      <c r="B918" s="453"/>
      <c r="C918" s="429"/>
      <c r="D918" s="398"/>
      <c r="E918" s="397"/>
    </row>
    <row r="919" spans="1:5">
      <c r="A919" s="401"/>
      <c r="B919" s="453"/>
      <c r="C919" s="429"/>
      <c r="D919" s="398"/>
      <c r="E919" s="397"/>
    </row>
    <row r="920" spans="1:5">
      <c r="A920" s="401"/>
      <c r="B920" s="453"/>
      <c r="C920" s="429"/>
      <c r="D920" s="398"/>
      <c r="E920" s="397"/>
    </row>
    <row r="921" spans="1:5">
      <c r="A921" s="401"/>
      <c r="B921" s="453"/>
      <c r="C921" s="429"/>
      <c r="D921" s="398"/>
      <c r="E921" s="397"/>
    </row>
    <row r="922" spans="1:5">
      <c r="A922" s="401"/>
      <c r="B922" s="453"/>
      <c r="C922" s="429"/>
      <c r="D922" s="398"/>
      <c r="E922" s="397"/>
    </row>
    <row r="923" spans="1:5">
      <c r="A923" s="401"/>
      <c r="B923" s="453"/>
      <c r="C923" s="429"/>
      <c r="D923" s="398"/>
      <c r="E923" s="397"/>
    </row>
    <row r="924" spans="1:5">
      <c r="A924" s="401"/>
      <c r="B924" s="453"/>
      <c r="C924" s="429"/>
      <c r="D924" s="398"/>
      <c r="E924" s="397"/>
    </row>
    <row r="925" spans="1:5">
      <c r="A925" s="401"/>
      <c r="B925" s="453"/>
      <c r="C925" s="429"/>
      <c r="D925" s="398"/>
      <c r="E925" s="397"/>
    </row>
    <row r="926" spans="1:5">
      <c r="A926" s="401"/>
      <c r="B926" s="453"/>
      <c r="C926" s="429"/>
      <c r="D926" s="398"/>
      <c r="E926" s="397"/>
    </row>
    <row r="927" spans="1:5">
      <c r="A927" s="401"/>
      <c r="B927" s="453"/>
      <c r="C927" s="429"/>
      <c r="D927" s="398"/>
      <c r="E927" s="397"/>
    </row>
    <row r="928" spans="1:5">
      <c r="A928" s="401"/>
      <c r="B928" s="453"/>
      <c r="C928" s="429"/>
      <c r="D928" s="398"/>
      <c r="E928" s="397"/>
    </row>
    <row r="929" spans="1:5">
      <c r="A929" s="401"/>
      <c r="B929" s="453"/>
      <c r="C929" s="429"/>
      <c r="D929" s="398"/>
      <c r="E929" s="397"/>
    </row>
    <row r="930" spans="1:5">
      <c r="A930" s="401"/>
      <c r="B930" s="453"/>
      <c r="C930" s="429"/>
      <c r="D930" s="398"/>
      <c r="E930" s="397"/>
    </row>
    <row r="931" spans="1:5">
      <c r="A931" s="401"/>
      <c r="B931" s="453"/>
      <c r="C931" s="429"/>
      <c r="D931" s="398"/>
      <c r="E931" s="397"/>
    </row>
    <row r="932" spans="1:5">
      <c r="A932" s="401"/>
      <c r="B932" s="453"/>
      <c r="C932" s="429"/>
      <c r="D932" s="398"/>
      <c r="E932" s="397"/>
    </row>
    <row r="933" spans="1:5">
      <c r="A933" s="401"/>
      <c r="B933" s="453"/>
      <c r="C933" s="429"/>
      <c r="D933" s="398"/>
      <c r="E933" s="397"/>
    </row>
    <row r="934" spans="1:5">
      <c r="A934" s="401"/>
      <c r="B934" s="453"/>
      <c r="C934" s="429"/>
      <c r="D934" s="398"/>
      <c r="E934" s="397"/>
    </row>
    <row r="935" spans="1:5">
      <c r="A935" s="401"/>
      <c r="B935" s="453"/>
      <c r="C935" s="429"/>
      <c r="D935" s="398"/>
      <c r="E935" s="397"/>
    </row>
    <row r="936" spans="1:5">
      <c r="A936" s="401"/>
      <c r="B936" s="453"/>
      <c r="C936" s="429"/>
      <c r="D936" s="398"/>
      <c r="E936" s="397"/>
    </row>
    <row r="937" spans="1:5">
      <c r="A937" s="401"/>
      <c r="B937" s="453"/>
      <c r="C937" s="429"/>
      <c r="D937" s="398"/>
      <c r="E937" s="397"/>
    </row>
    <row r="938" spans="1:5">
      <c r="A938" s="401"/>
      <c r="B938" s="453"/>
      <c r="C938" s="429"/>
      <c r="D938" s="398"/>
      <c r="E938" s="397"/>
    </row>
    <row r="939" spans="1:5">
      <c r="A939" s="401"/>
      <c r="B939" s="453"/>
      <c r="C939" s="429"/>
      <c r="D939" s="398"/>
      <c r="E939" s="397"/>
    </row>
    <row r="940" spans="1:5">
      <c r="A940" s="401"/>
      <c r="B940" s="453"/>
      <c r="C940" s="429"/>
      <c r="D940" s="398"/>
      <c r="E940" s="397"/>
    </row>
    <row r="941" spans="1:5">
      <c r="A941" s="401"/>
      <c r="B941" s="453"/>
      <c r="C941" s="429"/>
      <c r="D941" s="398"/>
      <c r="E941" s="397"/>
    </row>
    <row r="942" spans="1:5">
      <c r="A942" s="401"/>
      <c r="B942" s="453"/>
      <c r="C942" s="429"/>
      <c r="D942" s="398"/>
      <c r="E942" s="397"/>
    </row>
    <row r="943" spans="1:5">
      <c r="A943" s="401"/>
      <c r="B943" s="453"/>
      <c r="C943" s="429"/>
      <c r="D943" s="398"/>
      <c r="E943" s="397"/>
    </row>
    <row r="944" spans="1:5">
      <c r="A944" s="401"/>
      <c r="B944" s="453"/>
      <c r="C944" s="429"/>
      <c r="D944" s="398"/>
      <c r="E944" s="397"/>
    </row>
    <row r="945" spans="1:5">
      <c r="A945" s="401"/>
      <c r="B945" s="453"/>
      <c r="C945" s="429"/>
      <c r="D945" s="398"/>
      <c r="E945" s="397"/>
    </row>
    <row r="946" spans="1:5">
      <c r="A946" s="401"/>
      <c r="B946" s="453"/>
      <c r="C946" s="429"/>
      <c r="D946" s="398"/>
      <c r="E946" s="397"/>
    </row>
    <row r="947" spans="1:5">
      <c r="A947" s="401"/>
      <c r="B947" s="453"/>
      <c r="C947" s="429"/>
      <c r="D947" s="398"/>
      <c r="E947" s="397"/>
    </row>
    <row r="948" spans="1:5">
      <c r="A948" s="401"/>
      <c r="B948" s="453"/>
      <c r="C948" s="429"/>
      <c r="D948" s="398"/>
      <c r="E948" s="397"/>
    </row>
    <row r="949" spans="1:5">
      <c r="A949" s="401"/>
      <c r="B949" s="453"/>
      <c r="C949" s="429"/>
      <c r="D949" s="398"/>
      <c r="E949" s="397"/>
    </row>
    <row r="950" spans="1:5">
      <c r="A950" s="401"/>
      <c r="B950" s="453"/>
      <c r="C950" s="429"/>
      <c r="D950" s="398"/>
      <c r="E950" s="397"/>
    </row>
    <row r="951" spans="1:5">
      <c r="A951" s="401"/>
      <c r="B951" s="453"/>
      <c r="C951" s="429"/>
      <c r="D951" s="398"/>
      <c r="E951" s="397"/>
    </row>
    <row r="952" spans="1:5">
      <c r="A952" s="401"/>
      <c r="B952" s="453"/>
      <c r="C952" s="429"/>
      <c r="D952" s="398"/>
      <c r="E952" s="397"/>
    </row>
    <row r="953" spans="1:5">
      <c r="A953" s="401"/>
      <c r="B953" s="453"/>
      <c r="C953" s="429"/>
      <c r="D953" s="398"/>
      <c r="E953" s="397"/>
    </row>
    <row r="954" spans="1:5">
      <c r="A954" s="401"/>
      <c r="B954" s="453"/>
      <c r="C954" s="429"/>
      <c r="D954" s="398"/>
      <c r="E954" s="397"/>
    </row>
    <row r="955" spans="1:5">
      <c r="A955" s="401"/>
      <c r="B955" s="453"/>
      <c r="C955" s="429"/>
      <c r="D955" s="398"/>
      <c r="E955" s="397"/>
    </row>
    <row r="956" spans="1:5">
      <c r="A956" s="401"/>
      <c r="B956" s="453"/>
      <c r="C956" s="429"/>
      <c r="D956" s="398"/>
      <c r="E956" s="397"/>
    </row>
    <row r="957" spans="1:5">
      <c r="A957" s="401"/>
      <c r="B957" s="453"/>
      <c r="C957" s="429"/>
      <c r="D957" s="398"/>
      <c r="E957" s="397"/>
    </row>
    <row r="958" spans="1:5">
      <c r="A958" s="401"/>
      <c r="B958" s="453"/>
      <c r="C958" s="429"/>
      <c r="D958" s="398"/>
      <c r="E958" s="397"/>
    </row>
    <row r="959" spans="1:5">
      <c r="A959" s="401"/>
      <c r="B959" s="453"/>
      <c r="C959" s="429"/>
      <c r="D959" s="398"/>
      <c r="E959" s="397"/>
    </row>
    <row r="960" spans="1:5">
      <c r="A960" s="401"/>
      <c r="B960" s="453"/>
      <c r="C960" s="429"/>
      <c r="D960" s="398"/>
      <c r="E960" s="397"/>
    </row>
    <row r="961" spans="1:5">
      <c r="A961" s="401"/>
      <c r="B961" s="453"/>
      <c r="C961" s="429"/>
      <c r="D961" s="398"/>
      <c r="E961" s="397"/>
    </row>
    <row r="962" spans="1:5">
      <c r="A962" s="401"/>
      <c r="B962" s="453"/>
      <c r="C962" s="429"/>
      <c r="D962" s="398"/>
      <c r="E962" s="397"/>
    </row>
    <row r="963" spans="1:5">
      <c r="A963" s="401"/>
      <c r="B963" s="453"/>
      <c r="C963" s="429"/>
      <c r="D963" s="398"/>
      <c r="E963" s="397"/>
    </row>
    <row r="964" spans="1:5">
      <c r="A964" s="401"/>
      <c r="B964" s="453"/>
      <c r="C964" s="429"/>
      <c r="D964" s="398"/>
      <c r="E964" s="397"/>
    </row>
    <row r="965" spans="1:5">
      <c r="A965" s="401"/>
      <c r="B965" s="453"/>
      <c r="C965" s="429"/>
      <c r="D965" s="398"/>
      <c r="E965" s="397"/>
    </row>
    <row r="966" spans="1:5">
      <c r="A966" s="401"/>
      <c r="B966" s="453"/>
      <c r="C966" s="429"/>
      <c r="D966" s="398"/>
      <c r="E966" s="397"/>
    </row>
    <row r="967" spans="1:5">
      <c r="A967" s="401"/>
      <c r="B967" s="453"/>
      <c r="C967" s="429"/>
      <c r="D967" s="398"/>
      <c r="E967" s="397"/>
    </row>
    <row r="968" spans="1:5">
      <c r="A968" s="401"/>
      <c r="B968" s="453"/>
      <c r="C968" s="429"/>
      <c r="D968" s="398"/>
      <c r="E968" s="397"/>
    </row>
    <row r="969" spans="1:5">
      <c r="A969" s="401"/>
      <c r="B969" s="453"/>
      <c r="C969" s="429"/>
      <c r="D969" s="398"/>
      <c r="E969" s="397"/>
    </row>
    <row r="970" spans="1:5">
      <c r="A970" s="401"/>
      <c r="B970" s="453"/>
      <c r="C970" s="429"/>
      <c r="D970" s="398"/>
      <c r="E970" s="397"/>
    </row>
    <row r="971" spans="1:5">
      <c r="A971" s="401"/>
      <c r="B971" s="453"/>
      <c r="C971" s="429"/>
      <c r="D971" s="398"/>
      <c r="E971" s="397"/>
    </row>
    <row r="972" spans="1:5">
      <c r="A972" s="401"/>
      <c r="B972" s="453"/>
      <c r="C972" s="429"/>
      <c r="D972" s="398"/>
      <c r="E972" s="397"/>
    </row>
    <row r="973" spans="1:5">
      <c r="A973" s="401"/>
      <c r="B973" s="453"/>
      <c r="C973" s="429"/>
      <c r="D973" s="398"/>
      <c r="E973" s="397"/>
    </row>
    <row r="974" spans="1:5">
      <c r="A974" s="401"/>
      <c r="B974" s="453"/>
      <c r="C974" s="429"/>
      <c r="D974" s="398"/>
      <c r="E974" s="397"/>
    </row>
    <row r="975" spans="1:5">
      <c r="A975" s="401"/>
      <c r="B975" s="453"/>
      <c r="C975" s="429"/>
      <c r="D975" s="398"/>
      <c r="E975" s="397"/>
    </row>
    <row r="976" spans="1:5">
      <c r="A976" s="401"/>
      <c r="B976" s="453"/>
      <c r="C976" s="429"/>
      <c r="D976" s="398"/>
      <c r="E976" s="397"/>
    </row>
    <row r="977" spans="1:5">
      <c r="A977" s="401"/>
      <c r="B977" s="453"/>
      <c r="C977" s="429"/>
      <c r="D977" s="398"/>
      <c r="E977" s="397"/>
    </row>
    <row r="978" spans="1:5">
      <c r="A978" s="401"/>
      <c r="B978" s="453"/>
      <c r="C978" s="429"/>
      <c r="D978" s="398"/>
      <c r="E978" s="397"/>
    </row>
    <row r="979" spans="1:5">
      <c r="A979" s="401"/>
      <c r="B979" s="453"/>
      <c r="C979" s="429"/>
      <c r="D979" s="398"/>
      <c r="E979" s="397"/>
    </row>
    <row r="980" spans="1:5">
      <c r="A980" s="401"/>
      <c r="B980" s="453"/>
      <c r="C980" s="429"/>
      <c r="D980" s="398"/>
      <c r="E980" s="397"/>
    </row>
    <row r="981" spans="1:5">
      <c r="A981" s="401"/>
      <c r="B981" s="453"/>
      <c r="C981" s="429"/>
      <c r="D981" s="398"/>
      <c r="E981" s="397"/>
    </row>
    <row r="982" spans="1:5">
      <c r="A982" s="401"/>
      <c r="B982" s="453"/>
      <c r="C982" s="429"/>
      <c r="D982" s="398"/>
      <c r="E982" s="397"/>
    </row>
    <row r="983" spans="1:5">
      <c r="A983" s="401"/>
      <c r="B983" s="453"/>
      <c r="C983" s="429"/>
      <c r="D983" s="398"/>
      <c r="E983" s="397"/>
    </row>
    <row r="984" spans="1:5">
      <c r="A984" s="401"/>
      <c r="B984" s="453"/>
      <c r="C984" s="429"/>
      <c r="D984" s="398"/>
      <c r="E984" s="397"/>
    </row>
    <row r="985" spans="1:5">
      <c r="A985" s="441"/>
      <c r="B985" s="452"/>
      <c r="C985" s="439"/>
      <c r="D985" s="451"/>
      <c r="E985" s="397"/>
    </row>
    <row r="986" spans="1:5">
      <c r="A986" s="441"/>
      <c r="B986" s="452"/>
      <c r="C986" s="439"/>
      <c r="D986" s="451"/>
      <c r="E986" s="397"/>
    </row>
    <row r="987" spans="1:5">
      <c r="A987" s="441"/>
      <c r="B987" s="452"/>
      <c r="C987" s="439"/>
      <c r="D987" s="451"/>
      <c r="E987" s="397"/>
    </row>
    <row r="988" spans="1:5">
      <c r="A988" s="441"/>
      <c r="B988" s="452"/>
      <c r="C988" s="439"/>
      <c r="D988" s="451"/>
      <c r="E988" s="397"/>
    </row>
    <row r="989" spans="1:5">
      <c r="A989" s="441"/>
      <c r="B989" s="452"/>
      <c r="C989" s="439"/>
      <c r="D989" s="451"/>
      <c r="E989" s="397"/>
    </row>
    <row r="990" spans="1:5">
      <c r="A990" s="441"/>
      <c r="B990" s="452"/>
      <c r="C990" s="439"/>
      <c r="D990" s="451"/>
      <c r="E990" s="397"/>
    </row>
    <row r="991" spans="1:5">
      <c r="A991" s="441"/>
      <c r="B991" s="452"/>
      <c r="C991" s="439"/>
      <c r="D991" s="451"/>
      <c r="E991" s="397"/>
    </row>
    <row r="992" spans="1:5">
      <c r="A992" s="441"/>
      <c r="B992" s="452"/>
      <c r="C992" s="439"/>
      <c r="D992" s="451"/>
      <c r="E992" s="397"/>
    </row>
    <row r="993" spans="1:5">
      <c r="A993" s="441"/>
      <c r="B993" s="452"/>
      <c r="C993" s="439"/>
      <c r="D993" s="451"/>
      <c r="E993" s="397"/>
    </row>
    <row r="994" spans="1:5">
      <c r="A994" s="441"/>
      <c r="B994" s="452"/>
      <c r="C994" s="439"/>
      <c r="D994" s="451"/>
      <c r="E994" s="397"/>
    </row>
    <row r="995" spans="1:5">
      <c r="A995" s="441"/>
      <c r="B995" s="452"/>
      <c r="C995" s="439"/>
      <c r="D995" s="451"/>
      <c r="E995" s="397"/>
    </row>
    <row r="996" spans="1:5">
      <c r="A996" s="441"/>
      <c r="B996" s="452"/>
      <c r="C996" s="439"/>
      <c r="D996" s="451"/>
      <c r="E996" s="397"/>
    </row>
    <row r="997" spans="1:5">
      <c r="A997" s="441"/>
      <c r="B997" s="452"/>
      <c r="C997" s="439"/>
      <c r="D997" s="451"/>
      <c r="E997" s="397"/>
    </row>
    <row r="998" spans="1:5">
      <c r="A998" s="441"/>
      <c r="B998" s="452"/>
      <c r="C998" s="439"/>
      <c r="D998" s="451"/>
      <c r="E998" s="397"/>
    </row>
    <row r="999" spans="1:5">
      <c r="A999" s="441"/>
      <c r="B999" s="452"/>
      <c r="C999" s="439"/>
      <c r="D999" s="451"/>
      <c r="E999" s="397"/>
    </row>
    <row r="1000" spans="1:5">
      <c r="A1000" s="441"/>
      <c r="B1000" s="452"/>
      <c r="C1000" s="439"/>
      <c r="D1000" s="451"/>
      <c r="E1000" s="397"/>
    </row>
    <row r="1001" spans="1:5">
      <c r="A1001" s="441"/>
      <c r="B1001" s="452"/>
      <c r="C1001" s="439"/>
      <c r="D1001" s="451"/>
      <c r="E1001" s="397"/>
    </row>
    <row r="1002" spans="1:5">
      <c r="A1002" s="441"/>
      <c r="B1002" s="452"/>
      <c r="C1002" s="439"/>
      <c r="D1002" s="451"/>
      <c r="E1002" s="397"/>
    </row>
    <row r="1003" spans="1:5">
      <c r="A1003" s="441"/>
      <c r="B1003" s="452"/>
      <c r="C1003" s="439"/>
      <c r="D1003" s="451"/>
      <c r="E1003" s="397"/>
    </row>
    <row r="1004" spans="1:5">
      <c r="A1004" s="441"/>
      <c r="B1004" s="452"/>
      <c r="C1004" s="439"/>
      <c r="D1004" s="451"/>
      <c r="E1004" s="397"/>
    </row>
    <row r="1005" spans="1:5">
      <c r="A1005" s="441"/>
      <c r="B1005" s="452"/>
      <c r="C1005" s="439"/>
      <c r="D1005" s="451"/>
      <c r="E1005" s="397"/>
    </row>
    <row r="1006" spans="1:5">
      <c r="A1006" s="441"/>
      <c r="B1006" s="452"/>
      <c r="C1006" s="439"/>
      <c r="D1006" s="451"/>
      <c r="E1006" s="397"/>
    </row>
    <row r="1007" spans="1:5">
      <c r="A1007" s="441"/>
      <c r="B1007" s="452"/>
      <c r="C1007" s="439"/>
      <c r="D1007" s="451"/>
      <c r="E1007" s="397"/>
    </row>
    <row r="1008" spans="1:5">
      <c r="B1008" s="450"/>
      <c r="D1008" s="440"/>
      <c r="E1008" s="267"/>
    </row>
    <row r="1009" spans="2:4">
      <c r="B1009" s="450"/>
      <c r="D1009" s="440"/>
    </row>
    <row r="1010" spans="2:4">
      <c r="B1010" s="450"/>
      <c r="D1010" s="440"/>
    </row>
  </sheetData>
  <mergeCells count="1">
    <mergeCell ref="A1:D1"/>
  </mergeCells>
  <conditionalFormatting sqref="C4:C17 C19:C24 C26:C27 C29:C36 C38:C42 C44:C48 C50:C51 C53:C55 C57:C59 C61:C66 C68">
    <cfRule type="cellIs" dxfId="2" priority="1" operator="equal">
      <formula>"Да"</formula>
    </cfRule>
    <cfRule type="cellIs" dxfId="1" priority="2" operator="equal">
      <formula>"Нет"</formula>
    </cfRule>
  </conditionalFormatting>
  <conditionalFormatting sqref="C3:D69 A3 A18 A25 A49 A52 A56 A60 A67">
    <cfRule type="notContainsBlanks" dxfId="0" priority="3">
      <formula>LEN(TRIM(A3))&gt;0</formula>
    </cfRule>
  </conditionalFormatting>
  <dataValidations count="1">
    <dataValidation type="list" allowBlank="1" showErrorMessage="1" sqref="C4:C17 C19:C24 C26:C27 C29:C36 C38:C42 C44:C48 C50:C51 C53:C55 C57:C59 C61:C66 C68" xr:uid="{00000000-0002-0000-1400-000000000000}">
      <formula1>",Да,Нет,"</formula1>
    </dataValidation>
  </dataValidations>
  <printOptions horizontalCentered="1" gridLines="1"/>
  <pageMargins left="0.66929133858267709" right="0.66929133858267709" top="0.31496062992125984" bottom="0.39370078740157477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Е бетона</vt:lpstr>
      <vt:lpstr>Арм шкал</vt:lpstr>
      <vt:lpstr>% арм</vt:lpstr>
      <vt:lpstr>Прогиб</vt:lpstr>
      <vt:lpstr>Фи3Раскрепление</vt:lpstr>
      <vt:lpstr>ϕ1...ф4</vt:lpstr>
      <vt:lpstr>Анализ схем</vt:lpstr>
      <vt:lpstr>Интерполяция</vt:lpstr>
      <vt:lpstr>Расчет Qb</vt:lpstr>
      <vt:lpstr>Анкер|Нахл</vt:lpstr>
      <vt:lpstr>Коэф. Kze</vt:lpstr>
      <vt:lpstr>Муфты</vt:lpstr>
      <vt:lpstr>Огонь плит</vt:lpstr>
      <vt:lpstr>Арм.зад.</vt:lpstr>
      <vt:lpstr>Расх_арм</vt:lpstr>
      <vt:lpstr>Пределы огнестойкости</vt:lpstr>
      <vt:lpstr>Чек_л_ФП</vt:lpstr>
      <vt:lpstr>Чек_л_Лестницы</vt:lpstr>
      <vt:lpstr>Чек_л_СФ</vt:lpstr>
      <vt:lpstr>Чек_л_ВертКонст</vt:lpstr>
      <vt:lpstr>Чек_л_ГорКонстр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Продан Максим Аркадьевич</dc:creator>
  <cp:lastModifiedBy>Самойлова Диана Андреевна</cp:lastModifiedBy>
  <cp:lastPrinted>2021-05-14T09:47:58Z</cp:lastPrinted>
  <dcterms:created xsi:type="dcterms:W3CDTF">2015-06-05T18:19:34Z</dcterms:created>
  <dcterms:modified xsi:type="dcterms:W3CDTF">2025-07-31T16:45:42Z</dcterms:modified>
</cp:coreProperties>
</file>