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35\OneDrive\Desktop\Models\"/>
    </mc:Choice>
  </mc:AlternateContent>
  <xr:revisionPtr revIDLastSave="0" documentId="13_ncr:1_{C1EBE578-0FCD-4DE7-A6FB-92981C16C5EE}" xr6:coauthVersionLast="47" xr6:coauthVersionMax="47" xr10:uidLastSave="{00000000-0000-0000-0000-000000000000}"/>
  <bookViews>
    <workbookView xWindow="-108" yWindow="-108" windowWidth="23256" windowHeight="12456" activeTab="5" xr2:uid="{012050D5-F2CF-4504-84A8-9CD0269C5EF9}"/>
  </bookViews>
  <sheets>
    <sheet name="Income Statement " sheetId="1" r:id="rId1"/>
    <sheet name="Beta (Discount rate )" sheetId="3" r:id="rId2"/>
    <sheet name="Working Capital" sheetId="5" r:id="rId3"/>
    <sheet name="Fixed Assets" sheetId="6" r:id="rId4"/>
    <sheet name="Debt Schdule" sheetId="7" r:id="rId5"/>
    <sheet name="DCF" sheetId="8" r:id="rId6"/>
    <sheet name="Raw Data 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J21" i="1"/>
  <c r="D26" i="8"/>
  <c r="B26" i="8"/>
  <c r="B25" i="8"/>
  <c r="F12" i="8"/>
  <c r="G12" i="8" s="1"/>
  <c r="H12" i="8" s="1"/>
  <c r="D36" i="8" l="1"/>
  <c r="D34" i="8"/>
  <c r="G10" i="7" l="1"/>
  <c r="G5" i="7"/>
  <c r="E6" i="7"/>
  <c r="E9" i="7"/>
  <c r="E10" i="7" s="1"/>
  <c r="F9" i="7"/>
  <c r="F10" i="7" s="1"/>
  <c r="D9" i="7"/>
  <c r="D10" i="7" s="1"/>
  <c r="E5" i="7"/>
  <c r="F5" i="7"/>
  <c r="F6" i="7" s="1"/>
  <c r="D5" i="7"/>
  <c r="D6" i="7" s="1"/>
  <c r="C7" i="7"/>
  <c r="D7" i="7"/>
  <c r="E7" i="7"/>
  <c r="F7" i="7"/>
  <c r="E19" i="6"/>
  <c r="E18" i="6" s="1"/>
  <c r="E17" i="6" s="1"/>
  <c r="F19" i="6"/>
  <c r="F18" i="6" s="1"/>
  <c r="F17" i="6" s="1"/>
  <c r="D19" i="6"/>
  <c r="D18" i="6" s="1"/>
  <c r="D22" i="6" s="1"/>
  <c r="E8" i="6"/>
  <c r="E7" i="6" s="1"/>
  <c r="F8" i="6"/>
  <c r="D8" i="6"/>
  <c r="G16" i="6"/>
  <c r="E16" i="6"/>
  <c r="F16" i="6"/>
  <c r="D16" i="6"/>
  <c r="F5" i="6"/>
  <c r="D5" i="6"/>
  <c r="G5" i="6"/>
  <c r="H10" i="7" l="1"/>
  <c r="E13" i="6"/>
  <c r="F7" i="6"/>
  <c r="E11" i="6"/>
  <c r="D17" i="6"/>
  <c r="G17" i="6" s="1"/>
  <c r="H17" i="6" s="1"/>
  <c r="E22" i="6"/>
  <c r="G22" i="5"/>
  <c r="H22" i="5"/>
  <c r="I22" i="5"/>
  <c r="J22" i="5"/>
  <c r="F22" i="5"/>
  <c r="C21" i="5"/>
  <c r="D21" i="5"/>
  <c r="E21" i="5"/>
  <c r="D19" i="5"/>
  <c r="E19" i="5"/>
  <c r="C19" i="5"/>
  <c r="F21" i="5" l="1"/>
  <c r="G21" i="5" s="1"/>
  <c r="F13" i="6"/>
  <c r="F6" i="6"/>
  <c r="G18" i="6"/>
  <c r="F11" i="6"/>
  <c r="I17" i="6"/>
  <c r="J17" i="6" s="1"/>
  <c r="K17" i="6" s="1"/>
  <c r="I10" i="7"/>
  <c r="F22" i="6"/>
  <c r="J22" i="6" s="1"/>
  <c r="K22" i="6" l="1"/>
  <c r="G22" i="6"/>
  <c r="G19" i="6" s="1"/>
  <c r="I22" i="6"/>
  <c r="H22" i="6"/>
  <c r="J10" i="7"/>
  <c r="H21" i="5"/>
  <c r="I21" i="5" s="1"/>
  <c r="G20" i="6" l="1"/>
  <c r="H16" i="6" s="1"/>
  <c r="H18" i="6" s="1"/>
  <c r="H19" i="6" s="1"/>
  <c r="G15" i="1"/>
  <c r="K10" i="7"/>
  <c r="H20" i="6" l="1"/>
  <c r="I16" i="6" s="1"/>
  <c r="I18" i="6" s="1"/>
  <c r="H15" i="1"/>
  <c r="J21" i="5"/>
  <c r="I19" i="6" l="1"/>
  <c r="I15" i="1" s="1"/>
  <c r="I20" i="6" l="1"/>
  <c r="J16" i="6" s="1"/>
  <c r="J18" i="6" s="1"/>
  <c r="J19" i="6" s="1"/>
  <c r="J15" i="1"/>
  <c r="J20" i="6" l="1"/>
  <c r="K16" i="6" s="1"/>
  <c r="K18" i="6" s="1"/>
  <c r="K19" i="6" s="1"/>
  <c r="K15" i="1"/>
  <c r="K20" i="6" l="1"/>
  <c r="D14" i="5"/>
  <c r="E14" i="5"/>
  <c r="C14" i="5"/>
  <c r="D8" i="5" l="1"/>
  <c r="D16" i="5" s="1"/>
  <c r="E8" i="5"/>
  <c r="E16" i="5" s="1"/>
  <c r="E17" i="5" s="1"/>
  <c r="C8" i="5"/>
  <c r="C16" i="5" s="1"/>
  <c r="K9" i="3"/>
  <c r="K10" i="3" s="1"/>
  <c r="D18" i="3" s="1"/>
  <c r="F9" i="3"/>
  <c r="E9" i="3" s="1"/>
  <c r="F3" i="3"/>
  <c r="G3" i="3" s="1"/>
  <c r="E18" i="3" s="1"/>
  <c r="D17" i="5" l="1"/>
  <c r="E19" i="3"/>
  <c r="H3" i="3" l="1"/>
  <c r="E7" i="1"/>
  <c r="E10" i="3" l="1"/>
  <c r="E11" i="3" s="1"/>
  <c r="D19" i="3" s="1"/>
  <c r="D20" i="3" l="1"/>
  <c r="D20" i="8" s="1"/>
  <c r="E13" i="8" s="1"/>
  <c r="F13" i="1"/>
  <c r="F12" i="1"/>
  <c r="D13" i="1"/>
  <c r="D12" i="1"/>
  <c r="E13" i="1"/>
  <c r="E12" i="1"/>
  <c r="F7" i="1"/>
  <c r="F8" i="1"/>
  <c r="E8" i="1"/>
  <c r="E9" i="1" s="1"/>
  <c r="E10" i="1" s="1"/>
  <c r="F13" i="8" l="1"/>
  <c r="H13" i="8"/>
  <c r="D13" i="8"/>
  <c r="G13" i="8"/>
  <c r="D25" i="8"/>
  <c r="D20" i="5"/>
  <c r="D22" i="5"/>
  <c r="E24" i="5"/>
  <c r="E22" i="5"/>
  <c r="E20" i="5"/>
  <c r="M7" i="1"/>
  <c r="G7" i="1" s="1"/>
  <c r="F9" i="1"/>
  <c r="C24" i="5"/>
  <c r="D24" i="5"/>
  <c r="E18" i="1"/>
  <c r="E22" i="1" s="1"/>
  <c r="D8" i="1"/>
  <c r="E19" i="1" l="1"/>
  <c r="E23" i="1"/>
  <c r="D23" i="5" s="1"/>
  <c r="G6" i="1"/>
  <c r="H7" i="1"/>
  <c r="I7" i="1" s="1"/>
  <c r="J7" i="1" s="1"/>
  <c r="F24" i="5"/>
  <c r="C22" i="5"/>
  <c r="C20" i="5"/>
  <c r="D9" i="1"/>
  <c r="D18" i="1" s="1"/>
  <c r="D22" i="1" s="1"/>
  <c r="F10" i="1"/>
  <c r="F18" i="1"/>
  <c r="D10" i="1" l="1"/>
  <c r="G10" i="1" s="1"/>
  <c r="G9" i="1" s="1"/>
  <c r="G8" i="1" s="1"/>
  <c r="E25" i="1"/>
  <c r="F22" i="1"/>
  <c r="F19" i="1"/>
  <c r="G24" i="5"/>
  <c r="G7" i="6"/>
  <c r="F5" i="5"/>
  <c r="F7" i="5"/>
  <c r="H6" i="1"/>
  <c r="D19" i="1"/>
  <c r="H10" i="1" l="1"/>
  <c r="H9" i="1" s="1"/>
  <c r="F23" i="1"/>
  <c r="E23" i="5" s="1"/>
  <c r="F25" i="1"/>
  <c r="G19" i="1"/>
  <c r="G18" i="1" s="1"/>
  <c r="H19" i="1"/>
  <c r="H18" i="1" s="1"/>
  <c r="J19" i="1"/>
  <c r="I19" i="1"/>
  <c r="K19" i="1"/>
  <c r="H7" i="6"/>
  <c r="G5" i="5"/>
  <c r="G7" i="5"/>
  <c r="I6" i="1"/>
  <c r="H24" i="5"/>
  <c r="I24" i="5" s="1"/>
  <c r="F6" i="5"/>
  <c r="F8" i="5" s="1"/>
  <c r="F11" i="5"/>
  <c r="G6" i="6"/>
  <c r="D10" i="8" s="1"/>
  <c r="I10" i="1" l="1"/>
  <c r="J10" i="1" s="1"/>
  <c r="K10" i="1" s="1"/>
  <c r="D5" i="8"/>
  <c r="D6" i="8" s="1"/>
  <c r="D7" i="8" s="1"/>
  <c r="E5" i="8"/>
  <c r="I7" i="6"/>
  <c r="H5" i="5"/>
  <c r="H7" i="5"/>
  <c r="I18" i="1"/>
  <c r="J6" i="1"/>
  <c r="H8" i="1"/>
  <c r="J24" i="5"/>
  <c r="E6" i="8"/>
  <c r="E7" i="8" s="1"/>
  <c r="I9" i="1" l="1"/>
  <c r="F5" i="8"/>
  <c r="G11" i="5"/>
  <c r="G6" i="5"/>
  <c r="G8" i="5" s="1"/>
  <c r="J7" i="6"/>
  <c r="I5" i="5"/>
  <c r="I7" i="5"/>
  <c r="J18" i="1"/>
  <c r="K6" i="1"/>
  <c r="J9" i="1"/>
  <c r="I8" i="1"/>
  <c r="F6" i="8"/>
  <c r="F7" i="8" s="1"/>
  <c r="G5" i="8" l="1"/>
  <c r="H11" i="5"/>
  <c r="H6" i="5"/>
  <c r="H8" i="5" s="1"/>
  <c r="J8" i="1"/>
  <c r="K7" i="6"/>
  <c r="J5" i="5"/>
  <c r="J7" i="5"/>
  <c r="K18" i="1"/>
  <c r="H5" i="8" s="1"/>
  <c r="K9" i="1"/>
  <c r="K8" i="1"/>
  <c r="G6" i="8"/>
  <c r="G7" i="8" s="1"/>
  <c r="J6" i="5" l="1"/>
  <c r="J8" i="5" s="1"/>
  <c r="J11" i="5"/>
  <c r="K21" i="1"/>
  <c r="H6" i="8" s="1"/>
  <c r="H7" i="8" s="1"/>
  <c r="I11" i="5"/>
  <c r="I6" i="5"/>
  <c r="I8" i="5" s="1"/>
  <c r="G7" i="7" l="1"/>
  <c r="H5" i="7" l="1"/>
  <c r="H7" i="7" s="1"/>
  <c r="G9" i="7"/>
  <c r="G20" i="1" s="1"/>
  <c r="G22" i="1" s="1"/>
  <c r="G23" i="1" s="1"/>
  <c r="G25" i="1" s="1"/>
  <c r="I5" i="7" l="1"/>
  <c r="I7" i="7" s="1"/>
  <c r="H9" i="7"/>
  <c r="H20" i="1" s="1"/>
  <c r="H22" i="1" s="1"/>
  <c r="H23" i="1" s="1"/>
  <c r="H25" i="1" s="1"/>
  <c r="E5" i="6"/>
  <c r="E6" i="6" s="1"/>
  <c r="D7" i="6"/>
  <c r="D11" i="6" s="1"/>
  <c r="D13" i="6"/>
  <c r="J5" i="7" l="1"/>
  <c r="J7" i="7" s="1"/>
  <c r="I9" i="7"/>
  <c r="I20" i="1" s="1"/>
  <c r="I22" i="1" s="1"/>
  <c r="I23" i="1" s="1"/>
  <c r="I25" i="1" s="1"/>
  <c r="D6" i="6"/>
  <c r="K11" i="6"/>
  <c r="K8" i="6" s="1"/>
  <c r="G11" i="6"/>
  <c r="G8" i="6" s="1"/>
  <c r="H11" i="6"/>
  <c r="H8" i="6" s="1"/>
  <c r="I11" i="6"/>
  <c r="I8" i="6" s="1"/>
  <c r="J11" i="6"/>
  <c r="J8" i="6" s="1"/>
  <c r="K5" i="7" l="1"/>
  <c r="K7" i="7" s="1"/>
  <c r="K9" i="7" s="1"/>
  <c r="K20" i="1" s="1"/>
  <c r="K22" i="1" s="1"/>
  <c r="K23" i="1" s="1"/>
  <c r="K25" i="1" s="1"/>
  <c r="J9" i="7"/>
  <c r="J20" i="1" s="1"/>
  <c r="J22" i="1" s="1"/>
  <c r="J23" i="1" s="1"/>
  <c r="J25" i="1" s="1"/>
  <c r="J16" i="1"/>
  <c r="J14" i="1" s="1"/>
  <c r="G8" i="8" s="1"/>
  <c r="J9" i="6"/>
  <c r="K5" i="6" s="1"/>
  <c r="K6" i="6" s="1"/>
  <c r="H10" i="8" s="1"/>
  <c r="G9" i="6"/>
  <c r="H5" i="6" s="1"/>
  <c r="H6" i="6" s="1"/>
  <c r="E10" i="8" s="1"/>
  <c r="G16" i="1"/>
  <c r="G14" i="1" s="1"/>
  <c r="I16" i="1"/>
  <c r="I14" i="1" s="1"/>
  <c r="I9" i="6"/>
  <c r="J5" i="6" s="1"/>
  <c r="J6" i="6" s="1"/>
  <c r="G10" i="8" s="1"/>
  <c r="H9" i="6"/>
  <c r="I5" i="6" s="1"/>
  <c r="I6" i="6" s="1"/>
  <c r="F10" i="8" s="1"/>
  <c r="H16" i="1"/>
  <c r="H14" i="1" s="1"/>
  <c r="K16" i="1"/>
  <c r="K14" i="1" s="1"/>
  <c r="K9" i="6"/>
  <c r="I12" i="1" l="1"/>
  <c r="F8" i="8"/>
  <c r="D8" i="8"/>
  <c r="G12" i="1"/>
  <c r="H12" i="1"/>
  <c r="E8" i="8"/>
  <c r="K12" i="1"/>
  <c r="H8" i="8"/>
  <c r="J12" i="1"/>
  <c r="K13" i="1" l="1"/>
  <c r="J13" i="5"/>
  <c r="G13" i="5"/>
  <c r="H13" i="1"/>
  <c r="F13" i="5"/>
  <c r="G13" i="1"/>
  <c r="I13" i="5"/>
  <c r="J13" i="1"/>
  <c r="H13" i="5"/>
  <c r="I13" i="1"/>
  <c r="D23" i="1" l="1"/>
  <c r="D25" i="1" s="1"/>
  <c r="C23" i="5" l="1"/>
  <c r="F23" i="5" s="1"/>
  <c r="F12" i="5" l="1"/>
  <c r="F14" i="5" s="1"/>
  <c r="F16" i="5" s="1"/>
  <c r="F17" i="5" s="1"/>
  <c r="D9" i="8" s="1"/>
  <c r="D11" i="8" s="1"/>
  <c r="D15" i="8" s="1"/>
  <c r="G23" i="5"/>
  <c r="G12" i="5" l="1"/>
  <c r="G14" i="5" s="1"/>
  <c r="G16" i="5" s="1"/>
  <c r="G17" i="5" s="1"/>
  <c r="E9" i="8" s="1"/>
  <c r="E11" i="8" s="1"/>
  <c r="E15" i="8" s="1"/>
  <c r="H23" i="5"/>
  <c r="H12" i="5" s="1"/>
  <c r="H14" i="5" s="1"/>
  <c r="H16" i="5" s="1"/>
  <c r="H17" i="5" l="1"/>
  <c r="F9" i="8" s="1"/>
  <c r="F11" i="8" s="1"/>
  <c r="F15" i="8" s="1"/>
  <c r="I23" i="5"/>
  <c r="I12" i="5" l="1"/>
  <c r="I14" i="5" s="1"/>
  <c r="I16" i="5" s="1"/>
  <c r="I17" i="5" s="1"/>
  <c r="G9" i="8" s="1"/>
  <c r="G11" i="8" s="1"/>
  <c r="G15" i="8" s="1"/>
  <c r="J23" i="5"/>
  <c r="J12" i="5" s="1"/>
  <c r="J14" i="5" s="1"/>
  <c r="J16" i="5" s="1"/>
  <c r="J17" i="5" l="1"/>
  <c r="H9" i="8" s="1"/>
  <c r="H11" i="8" s="1"/>
  <c r="D24" i="8" s="1"/>
  <c r="D27" i="8" s="1"/>
  <c r="D31" i="8" s="1"/>
  <c r="H15" i="8" l="1"/>
  <c r="J15" i="8" s="1"/>
  <c r="D30" i="8" s="1"/>
  <c r="D33" i="8" s="1"/>
  <c r="D35" i="8" s="1"/>
  <c r="D38" i="8" s="1"/>
  <c r="D40" i="8" s="1"/>
  <c r="D22" i="8" l="1"/>
</calcChain>
</file>

<file path=xl/sharedStrings.xml><?xml version="1.0" encoding="utf-8"?>
<sst xmlns="http://schemas.openxmlformats.org/spreadsheetml/2006/main" count="237" uniqueCount="228">
  <si>
    <t xml:space="preserve">Histrocial </t>
  </si>
  <si>
    <t>Forcasted</t>
  </si>
  <si>
    <t>TATA STEEL DCF MODEL</t>
  </si>
  <si>
    <t>Sales</t>
  </si>
  <si>
    <t>Growth rate %</t>
  </si>
  <si>
    <t>Cost of Sales</t>
  </si>
  <si>
    <t xml:space="preserve">Gross Profit </t>
  </si>
  <si>
    <t xml:space="preserve">   Gp Margin %</t>
  </si>
  <si>
    <t xml:space="preserve">Other operating expenses </t>
  </si>
  <si>
    <t xml:space="preserve">Depreciation and Amortization </t>
  </si>
  <si>
    <t xml:space="preserve">Amortitization </t>
  </si>
  <si>
    <t xml:space="preserve">Depriceation </t>
  </si>
  <si>
    <t>Operating  Profit(EBIT)</t>
  </si>
  <si>
    <t>Operating  Profit(EBIT) Margin %</t>
  </si>
  <si>
    <t xml:space="preserve">Intrerest Expenses </t>
  </si>
  <si>
    <t>Tax  Rate</t>
  </si>
  <si>
    <t>PBT</t>
  </si>
  <si>
    <t>Tax expenses</t>
  </si>
  <si>
    <t>IV Expenses:</t>
  </si>
  <si>
    <t>51,806.05 54,196.66</t>
  </si>
  <si>
    <t>VIII Tax expense:</t>
  </si>
  <si>
    <t>Basic (₹) 117.04 57.11</t>
  </si>
  <si>
    <t>Diluted (₹) 117.03 57.11</t>
  </si>
  <si>
    <t>I Revenue from operations</t>
  </si>
  <si>
    <t>26 305</t>
  </si>
  <si>
    <t>64,869.00 60,435.97</t>
  </si>
  <si>
    <t>II Other income 27 306 637</t>
  </si>
  <si>
    <t>.89 404</t>
  </si>
  <si>
    <t>III Total income 65,506.89</t>
  </si>
  <si>
    <t>umed 13</t>
  </si>
  <si>
    <t>,868.60 17,407.03</t>
  </si>
  <si>
    <t>(b) Purchases of stock-in-</t>
  </si>
  <si>
    <t>trade 1</t>
  </si>
  <si>
    <t>,146.05 1,563.10</t>
  </si>
  <si>
    <t>(c) Changes in inventories</t>
  </si>
  <si>
    <t>of fin</t>
  </si>
  <si>
    <t>ished and semi-finished goods, stock-in-trad</t>
  </si>
  <si>
    <t>e and</t>
  </si>
  <si>
    <t>work-in-progress 28 307 1,464.12 (564.40)</t>
  </si>
  <si>
    <t>(d) Employee benefits expe</t>
  </si>
  <si>
    <t>nse 29</t>
  </si>
  <si>
    <t>307 5,198.82 5,036.62</t>
  </si>
  <si>
    <t>(f ) Depreciation and amor</t>
  </si>
  <si>
    <t>tisatio</t>
  </si>
  <si>
    <t>n expense 31 308 3,987.32 3,920.12</t>
  </si>
  <si>
    <t>(g) Other expenses 32 308</t>
  </si>
  <si>
    <t>30 23,803.18</t>
  </si>
  <si>
    <t>Less: Expenditure (other t</t>
  </si>
  <si>
    <t>han int</t>
  </si>
  <si>
    <t>erest) transferred to capital and other acco</t>
  </si>
  <si>
    <t>unts</t>
  </si>
  <si>
    <t>1,321.24 1,671.13</t>
  </si>
  <si>
    <t>Total expenses 50,484.81 5</t>
  </si>
  <si>
    <t>V Profit before exceptiona</t>
  </si>
  <si>
    <t>l items</t>
  </si>
  <si>
    <t>and tax (III-IV) 15,022.08 8,314.56</t>
  </si>
  <si>
    <t>VI Exceptional items: 33 3</t>
  </si>
  <si>
    <t>(a) Profit/(loss) on sale</t>
  </si>
  <si>
    <t>of non-</t>
  </si>
  <si>
    <t>current investments 1,084.85 -</t>
  </si>
  <si>
    <t>(b) Provision for impairme</t>
  </si>
  <si>
    <t>nt of i</t>
  </si>
  <si>
    <t>nvestments/doubtful advances 149.74 (1,149.8</t>
  </si>
  <si>
    <t>0)</t>
  </si>
  <si>
    <t>(c) Provision for demands</t>
  </si>
  <si>
    <t>and cla</t>
  </si>
  <si>
    <t>ims - (196.41)</t>
  </si>
  <si>
    <t>(d) Employee separation co</t>
  </si>
  <si>
    <t>mpensat</t>
  </si>
  <si>
    <t>ion (443.55) (107.37)</t>
  </si>
  <si>
    <t>(e) Gain/(loss) on non-cur</t>
  </si>
  <si>
    <t>rent in</t>
  </si>
  <si>
    <t>vestments classified as fair value through p</t>
  </si>
  <si>
    <t>rofit</t>
  </si>
  <si>
    <t>and loss (net) 1,982.01 (250.00)</t>
  </si>
  <si>
    <t>Total exceptional items 2,</t>
  </si>
  <si>
    <t>VII Profit before tax (V+V</t>
  </si>
  <si>
    <t>I) 17,7</t>
  </si>
  <si>
    <t>95.13 6,610.98</t>
  </si>
  <si>
    <t>(a) Current tax 3,949.05 1</t>
  </si>
  <si>
    <t>,787.95</t>
  </si>
  <si>
    <t>(b) Deferred tax 239.46 (1</t>
  </si>
  <si>
    <t>,920.77</t>
  </si>
  <si>
    <t>)</t>
  </si>
  <si>
    <t>Total tax expense 4,188.51</t>
  </si>
  <si>
    <t>(132.8</t>
  </si>
  <si>
    <t>2)</t>
  </si>
  <si>
    <t>IX Profit for the year (VI</t>
  </si>
  <si>
    <t>I-VIII)</t>
  </si>
  <si>
    <t>13,606.62 6,743.80</t>
  </si>
  <si>
    <t>X Other comprehensive inco</t>
  </si>
  <si>
    <t>me/(los</t>
  </si>
  <si>
    <t>s)</t>
  </si>
  <si>
    <t>A (i) Items that will not</t>
  </si>
  <si>
    <t>be recl</t>
  </si>
  <si>
    <t>assified subsequently to profit and loss</t>
  </si>
  <si>
    <t>(a) Remeasurement gain/(lo</t>
  </si>
  <si>
    <t>ss) on</t>
  </si>
  <si>
    <t>post-employment defined benefit plans 81.97</t>
  </si>
  <si>
    <t>(461.</t>
  </si>
  <si>
    <t>27)</t>
  </si>
  <si>
    <t>(b) Fair value changes of</t>
  </si>
  <si>
    <t>investm</t>
  </si>
  <si>
    <t>ents in equity shares 333.55 (244.30)</t>
  </si>
  <si>
    <t>(ii) Income tax on items t</t>
  </si>
  <si>
    <t>hat wil</t>
  </si>
  <si>
    <t>l not be reclassified subsequently to profit</t>
  </si>
  <si>
    <t>and</t>
  </si>
  <si>
    <t>loss (27.40) 116.65</t>
  </si>
  <si>
    <t>B (i) Items that will be r</t>
  </si>
  <si>
    <t>eclassi</t>
  </si>
  <si>
    <t>fied subsequently to profit and loss</t>
  </si>
  <si>
    <t>(a) Fair value changes of</t>
  </si>
  <si>
    <t>cash fl</t>
  </si>
  <si>
    <t>ow hedges 27.56 (79.76)</t>
  </si>
  <si>
    <t>l be reclassified subsequently to profit and</t>
  </si>
  <si>
    <t>loss</t>
  </si>
  <si>
    <t>(6.94) 19.81</t>
  </si>
  <si>
    <t>Total other comprehensive</t>
  </si>
  <si>
    <t>income/</t>
  </si>
  <si>
    <t>(loss) for the year 408.74 (648.87)</t>
  </si>
  <si>
    <t>XI Total comprehensive inc</t>
  </si>
  <si>
    <t>ome/(lo</t>
  </si>
  <si>
    <t>ss) for the year (IX+X) 14,015.36 6,094.93</t>
  </si>
  <si>
    <t>XII Earnings per share 34</t>
  </si>
  <si>
    <t>XIII Notes forming part of</t>
  </si>
  <si>
    <t>the fi</t>
  </si>
  <si>
    <t>nancial statements 1 - 46</t>
  </si>
  <si>
    <t xml:space="preserve">Operating Expenses </t>
  </si>
  <si>
    <t>PAT</t>
  </si>
  <si>
    <t xml:space="preserve">Cost of Equity </t>
  </si>
  <si>
    <t>Risk Free Rate</t>
  </si>
  <si>
    <t xml:space="preserve">Equity Risk Premium </t>
  </si>
  <si>
    <t xml:space="preserve">Leverd beta </t>
  </si>
  <si>
    <t>Total Debt</t>
  </si>
  <si>
    <t>Total Equity</t>
  </si>
  <si>
    <t>Debt/Equity</t>
  </si>
  <si>
    <t>Debt/Capital</t>
  </si>
  <si>
    <t>Cost of Equity</t>
  </si>
  <si>
    <t>Cost of Debt</t>
  </si>
  <si>
    <t>Pre-tax Cost of Debt</t>
  </si>
  <si>
    <t>Tax Rate</t>
  </si>
  <si>
    <t>After Tax Cost of Debt</t>
  </si>
  <si>
    <t>WACC</t>
  </si>
  <si>
    <t xml:space="preserve">WACC for Tata Steel </t>
  </si>
  <si>
    <t>Total Cost</t>
  </si>
  <si>
    <t>Total Weight</t>
  </si>
  <si>
    <t>Debt Capital</t>
  </si>
  <si>
    <t>Equity Capital</t>
  </si>
  <si>
    <t xml:space="preserve">Current Assests </t>
  </si>
  <si>
    <t xml:space="preserve">Debtors </t>
  </si>
  <si>
    <t>Inventory</t>
  </si>
  <si>
    <t xml:space="preserve">Total Current Assets </t>
  </si>
  <si>
    <t xml:space="preserve">Current Libilities  </t>
  </si>
  <si>
    <t>Creditiors</t>
  </si>
  <si>
    <t xml:space="preserve">Accured  Income Tax payable </t>
  </si>
  <si>
    <t xml:space="preserve">other accruals </t>
  </si>
  <si>
    <t xml:space="preserve">Total Current Libilities </t>
  </si>
  <si>
    <t xml:space="preserve">Net Working Capital </t>
  </si>
  <si>
    <t>Change in W.C</t>
  </si>
  <si>
    <t xml:space="preserve">Debtor Days </t>
  </si>
  <si>
    <t>Inventory Days</t>
  </si>
  <si>
    <t xml:space="preserve">Other Current Assests % of Revenue </t>
  </si>
  <si>
    <t xml:space="preserve">Creditors Days </t>
  </si>
  <si>
    <t xml:space="preserve">Accured  Income Tax payable(% of Income Tax) </t>
  </si>
  <si>
    <t xml:space="preserve">other accruals  % of operating Expense </t>
  </si>
  <si>
    <t xml:space="preserve">Working Capital  Schedule </t>
  </si>
  <si>
    <t xml:space="preserve">Fixed Assets Schdule </t>
  </si>
  <si>
    <t xml:space="preserve">Opening balance </t>
  </si>
  <si>
    <t xml:space="preserve">add: Net purcahse </t>
  </si>
  <si>
    <t xml:space="preserve">Total Fixed Assets </t>
  </si>
  <si>
    <t>Less: Dep.</t>
  </si>
  <si>
    <t xml:space="preserve"> Fixed Assets Closing Balance </t>
  </si>
  <si>
    <t xml:space="preserve">Rate of Deprication </t>
  </si>
  <si>
    <t>Fixed Assets Turnover Ratio</t>
  </si>
  <si>
    <t xml:space="preserve">Other Intangible Assets Schdule </t>
  </si>
  <si>
    <t xml:space="preserve">Opening Balance </t>
  </si>
  <si>
    <t>Add: Net Purchase</t>
  </si>
  <si>
    <t>Total  Intangible Assets</t>
  </si>
  <si>
    <t xml:space="preserve">Less: Amortization </t>
  </si>
  <si>
    <t xml:space="preserve">Other  Int. Assets Closing Balance </t>
  </si>
  <si>
    <t xml:space="preserve">Rate of Amortization </t>
  </si>
  <si>
    <t>Debt schdule</t>
  </si>
  <si>
    <t>Add/Less: Debt Taken/Debt Repaid</t>
  </si>
  <si>
    <t>Closing balance</t>
  </si>
  <si>
    <t xml:space="preserve">Interest Expense </t>
  </si>
  <si>
    <t>Interest Rate (preTax )</t>
  </si>
  <si>
    <t>Mar-20'A'</t>
  </si>
  <si>
    <t>20% of Operating Exp.</t>
  </si>
  <si>
    <t>EBIT</t>
  </si>
  <si>
    <t>Less : Tax</t>
  </si>
  <si>
    <t>NOPAT</t>
  </si>
  <si>
    <t>Add/Less: Deprecition &amp; Amortization</t>
  </si>
  <si>
    <t>Add/Less: Working capital Changes</t>
  </si>
  <si>
    <t>Less : Captial Expenditure</t>
  </si>
  <si>
    <t>FCFF</t>
  </si>
  <si>
    <t>Discount Factor</t>
  </si>
  <si>
    <t xml:space="preserve">Present Value of Expilcit Period </t>
  </si>
  <si>
    <t>FCFF For TATA STEEL</t>
  </si>
  <si>
    <t>Expected Growth</t>
  </si>
  <si>
    <t>Terminal Growth</t>
  </si>
  <si>
    <t xml:space="preserve">Mid-Year </t>
  </si>
  <si>
    <t>Pv value of FCFF</t>
  </si>
  <si>
    <t>Enterprises Value (Terminal Value )</t>
  </si>
  <si>
    <t xml:space="preserve">Total PV of operations </t>
  </si>
  <si>
    <t>Add: Non Operating Assets in cash</t>
  </si>
  <si>
    <t>Value of Firm</t>
  </si>
  <si>
    <t xml:space="preserve">Less : Debt </t>
  </si>
  <si>
    <t xml:space="preserve">Less : Non - Controlling  Interest  </t>
  </si>
  <si>
    <t>Value of Equity</t>
  </si>
  <si>
    <t xml:space="preserve">share of outstanding </t>
  </si>
  <si>
    <t>Value per share</t>
  </si>
  <si>
    <t xml:space="preserve">Sales Forcaste </t>
  </si>
  <si>
    <t>FCFF(N+1)</t>
  </si>
  <si>
    <r>
      <t xml:space="preserve">Present Value </t>
    </r>
    <r>
      <rPr>
        <b/>
        <i/>
        <sz val="11"/>
        <color theme="1"/>
        <rFont val="Calibri"/>
        <family val="2"/>
      </rPr>
      <t>FCFF</t>
    </r>
  </si>
  <si>
    <t>Calculation of Enterprise Value</t>
  </si>
  <si>
    <t xml:space="preserve">PV Terminal </t>
  </si>
  <si>
    <t>=</t>
  </si>
  <si>
    <t>Other OPEx Forcaste</t>
  </si>
  <si>
    <t>(e) Finance costs</t>
  </si>
  <si>
    <t xml:space="preserve"> 30 308 3,393.84</t>
  </si>
  <si>
    <t xml:space="preserve">(a) Cost of materials cons </t>
  </si>
  <si>
    <t>-</t>
  </si>
  <si>
    <t xml:space="preserve">Other Current Assets </t>
  </si>
  <si>
    <t xml:space="preserve">     -</t>
  </si>
  <si>
    <r>
      <t xml:space="preserve">Tax Rate </t>
    </r>
    <r>
      <rPr>
        <b/>
        <vertAlign val="superscript"/>
        <sz val="11"/>
        <color theme="0"/>
        <rFont val="Calibri"/>
        <family val="2"/>
      </rPr>
      <t>1</t>
    </r>
  </si>
  <si>
    <r>
      <t xml:space="preserve">Beta </t>
    </r>
    <r>
      <rPr>
        <b/>
        <vertAlign val="superscript"/>
        <sz val="11"/>
        <color theme="0"/>
        <rFont val="Calibri"/>
        <family val="2"/>
      </rPr>
      <t>2</t>
    </r>
  </si>
  <si>
    <r>
      <t xml:space="preserve">Beta </t>
    </r>
    <r>
      <rPr>
        <b/>
        <vertAlign val="superscript"/>
        <sz val="11"/>
        <color theme="0"/>
        <rFont val="Calibri"/>
        <family val="2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</si>
</sst>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 * #,##0.00_ ;_ * \-#,##0.00_ ;_ * &quot;-&quot;??_ ;_ @_ "/>
    <numFmt numFmtId="164" formatCode="mmm/yy\'\A\'"/>
    <numFmt numFmtId="165" formatCode="mmm/yy\'\F\'"/>
    <numFmt numFmtId="166" formatCode="#,##0.0"/>
    <numFmt numFmtId="167" formatCode="0.0"/>
    <numFmt numFmtId="168" formatCode="_ * #,##0.0_ ;_ * \-#,##0.0_ ;_ * &quot;-&quot;??_ ;_ @_ "/>
  </numFmts>
  <fonts count="2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4"/>
      <name val="Calibri"/>
      <family val="2"/>
    </font>
    <font>
      <b/>
      <sz val="12"/>
      <color theme="0"/>
      <name val="Calibri"/>
      <family val="2"/>
    </font>
    <font>
      <i/>
      <sz val="10"/>
      <color theme="1"/>
      <name val="Calibri"/>
      <family val="2"/>
    </font>
    <font>
      <b/>
      <i/>
      <u/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1"/>
      <color theme="4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i/>
      <u/>
      <sz val="11"/>
      <color theme="1"/>
      <name val="Calibri"/>
      <family val="2"/>
    </font>
    <font>
      <sz val="11"/>
      <color theme="4" tint="-0.499984740745262"/>
      <name val="Calibri"/>
      <family val="2"/>
    </font>
    <font>
      <sz val="11"/>
      <name val="Calibri"/>
      <family val="2"/>
    </font>
    <font>
      <b/>
      <i/>
      <sz val="11"/>
      <name val="Calibri"/>
      <family val="2"/>
    </font>
    <font>
      <b/>
      <u/>
      <sz val="11"/>
      <color theme="1"/>
      <name val="Calibri"/>
      <family val="2"/>
    </font>
    <font>
      <i/>
      <sz val="11"/>
      <color theme="4"/>
      <name val="Calibri"/>
      <family val="2"/>
    </font>
    <font>
      <b/>
      <i/>
      <sz val="11"/>
      <color theme="1"/>
      <name val="Calibri"/>
      <family val="2"/>
    </font>
    <font>
      <b/>
      <i/>
      <u/>
      <sz val="11"/>
      <color theme="0"/>
      <name val="Calibri"/>
      <family val="2"/>
    </font>
    <font>
      <b/>
      <sz val="11"/>
      <color theme="2"/>
      <name val="Calibri"/>
      <family val="2"/>
    </font>
    <font>
      <sz val="11"/>
      <color rgb="FF040C2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sz val="10"/>
      <color theme="1"/>
      <name val="Calibri"/>
      <family val="2"/>
    </font>
    <font>
      <b/>
      <vertAlign val="superscript"/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/>
      <top style="dotted">
        <color theme="4"/>
      </top>
      <bottom style="dotted">
        <color theme="4"/>
      </bottom>
      <diagonal/>
    </border>
    <border>
      <left/>
      <right/>
      <top style="medium">
        <color theme="1"/>
      </top>
      <bottom style="double">
        <color theme="1"/>
      </bottom>
      <diagonal/>
    </border>
    <border>
      <left/>
      <right/>
      <top style="dotted">
        <color theme="4"/>
      </top>
      <bottom/>
      <diagonal/>
    </border>
    <border>
      <left/>
      <right/>
      <top/>
      <bottom style="dotted">
        <color theme="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59">
    <xf numFmtId="0" fontId="0" fillId="0" borderId="0" xfId="0"/>
    <xf numFmtId="0" fontId="2" fillId="0" borderId="0" xfId="0" applyFont="1"/>
    <xf numFmtId="0" fontId="1" fillId="0" borderId="0" xfId="0" applyFont="1"/>
    <xf numFmtId="164" fontId="1" fillId="2" borderId="0" xfId="0" applyNumberFormat="1" applyFont="1" applyFill="1"/>
    <xf numFmtId="165" fontId="1" fillId="2" borderId="0" xfId="0" applyNumberFormat="1" applyFont="1" applyFill="1"/>
    <xf numFmtId="0" fontId="4" fillId="0" borderId="0" xfId="0" applyFont="1"/>
    <xf numFmtId="4" fontId="0" fillId="0" borderId="0" xfId="0" applyNumberFormat="1"/>
    <xf numFmtId="4" fontId="5" fillId="0" borderId="0" xfId="0" applyNumberFormat="1" applyFont="1"/>
    <xf numFmtId="17" fontId="5" fillId="0" borderId="0" xfId="0" applyNumberFormat="1" applyFont="1"/>
    <xf numFmtId="10" fontId="6" fillId="0" borderId="0" xfId="0" applyNumberFormat="1" applyFont="1"/>
    <xf numFmtId="3" fontId="0" fillId="0" borderId="0" xfId="0" applyNumberFormat="1"/>
    <xf numFmtId="10" fontId="0" fillId="0" borderId="0" xfId="0" applyNumberFormat="1"/>
    <xf numFmtId="166" fontId="0" fillId="0" borderId="0" xfId="0" applyNumberFormat="1"/>
    <xf numFmtId="10" fontId="9" fillId="3" borderId="0" xfId="0" applyNumberFormat="1" applyFont="1" applyFill="1"/>
    <xf numFmtId="2" fontId="0" fillId="0" borderId="0" xfId="0" applyNumberFormat="1"/>
    <xf numFmtId="0" fontId="0" fillId="0" borderId="1" xfId="0" applyBorder="1"/>
    <xf numFmtId="0" fontId="1" fillId="0" borderId="1" xfId="0" applyFont="1" applyBorder="1"/>
    <xf numFmtId="2" fontId="8" fillId="0" borderId="0" xfId="0" applyNumberFormat="1" applyFont="1"/>
    <xf numFmtId="0" fontId="8" fillId="0" borderId="0" xfId="0" applyFont="1"/>
    <xf numFmtId="10" fontId="8" fillId="0" borderId="0" xfId="0" applyNumberFormat="1" applyFont="1"/>
    <xf numFmtId="10" fontId="1" fillId="0" borderId="1" xfId="0" applyNumberFormat="1" applyFont="1" applyBorder="1"/>
    <xf numFmtId="0" fontId="1" fillId="0" borderId="4" xfId="0" applyFont="1" applyBorder="1"/>
    <xf numFmtId="0" fontId="8" fillId="0" borderId="4" xfId="0" applyFont="1" applyBorder="1"/>
    <xf numFmtId="10" fontId="1" fillId="0" borderId="3" xfId="0" applyNumberFormat="1" applyFont="1" applyBorder="1"/>
    <xf numFmtId="0" fontId="1" fillId="0" borderId="3" xfId="0" applyFont="1" applyBorder="1"/>
    <xf numFmtId="3" fontId="14" fillId="2" borderId="0" xfId="0" applyNumberFormat="1" applyFont="1" applyFill="1"/>
    <xf numFmtId="0" fontId="1" fillId="0" borderId="6" xfId="0" applyFont="1" applyBorder="1"/>
    <xf numFmtId="0" fontId="1" fillId="2" borderId="0" xfId="0" applyFont="1" applyFill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0" borderId="9" xfId="0" applyFont="1" applyBorder="1"/>
    <xf numFmtId="0" fontId="0" fillId="0" borderId="9" xfId="0" applyBorder="1"/>
    <xf numFmtId="0" fontId="1" fillId="0" borderId="10" xfId="0" applyFont="1" applyBorder="1"/>
    <xf numFmtId="4" fontId="2" fillId="0" borderId="7" xfId="0" applyNumberFormat="1" applyFont="1" applyBorder="1"/>
    <xf numFmtId="4" fontId="2" fillId="0" borderId="8" xfId="0" applyNumberFormat="1" applyFont="1" applyBorder="1"/>
    <xf numFmtId="0" fontId="2" fillId="0" borderId="8" xfId="0" applyFont="1" applyBorder="1"/>
    <xf numFmtId="4" fontId="2" fillId="0" borderId="0" xfId="0" applyNumberFormat="1" applyFont="1"/>
    <xf numFmtId="0" fontId="7" fillId="0" borderId="0" xfId="0" applyFont="1"/>
    <xf numFmtId="10" fontId="15" fillId="0" borderId="0" xfId="0" applyNumberFormat="1" applyFont="1"/>
    <xf numFmtId="166" fontId="0" fillId="0" borderId="7" xfId="0" applyNumberFormat="1" applyBorder="1"/>
    <xf numFmtId="166" fontId="0" fillId="0" borderId="8" xfId="0" applyNumberFormat="1" applyBorder="1"/>
    <xf numFmtId="10" fontId="9" fillId="4" borderId="0" xfId="0" applyNumberFormat="1" applyFont="1" applyFill="1"/>
    <xf numFmtId="0" fontId="17" fillId="3" borderId="0" xfId="0" applyFont="1" applyFill="1"/>
    <xf numFmtId="0" fontId="0" fillId="0" borderId="10" xfId="0" applyBorder="1"/>
    <xf numFmtId="10" fontId="2" fillId="0" borderId="9" xfId="0" applyNumberFormat="1" applyFont="1" applyBorder="1"/>
    <xf numFmtId="4" fontId="2" fillId="0" borderId="11" xfId="0" applyNumberFormat="1" applyFont="1" applyBorder="1"/>
    <xf numFmtId="0" fontId="16" fillId="0" borderId="0" xfId="0" applyFont="1"/>
    <xf numFmtId="0" fontId="18" fillId="4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8" fillId="4" borderId="0" xfId="0" applyFont="1" applyFill="1"/>
    <xf numFmtId="0" fontId="1" fillId="4" borderId="0" xfId="0" applyFont="1" applyFill="1"/>
    <xf numFmtId="2" fontId="1" fillId="4" borderId="0" xfId="0" applyNumberFormat="1" applyFont="1" applyFill="1"/>
    <xf numFmtId="0" fontId="6" fillId="0" borderId="0" xfId="0" applyFont="1"/>
    <xf numFmtId="10" fontId="20" fillId="0" borderId="0" xfId="0" applyNumberFormat="1" applyFont="1"/>
    <xf numFmtId="0" fontId="0" fillId="4" borderId="0" xfId="0" applyFill="1" applyAlignment="1">
      <alignment horizontal="center"/>
    </xf>
    <xf numFmtId="0" fontId="1" fillId="5" borderId="0" xfId="0" applyFont="1" applyFill="1"/>
    <xf numFmtId="10" fontId="1" fillId="5" borderId="0" xfId="0" applyNumberFormat="1" applyFont="1" applyFill="1"/>
    <xf numFmtId="0" fontId="0" fillId="0" borderId="6" xfId="0" applyBorder="1"/>
    <xf numFmtId="166" fontId="0" fillId="0" borderId="6" xfId="0" applyNumberFormat="1" applyBorder="1"/>
    <xf numFmtId="0" fontId="9" fillId="6" borderId="0" xfId="0" applyFont="1" applyFill="1"/>
    <xf numFmtId="0" fontId="21" fillId="6" borderId="0" xfId="0" applyFont="1" applyFill="1"/>
    <xf numFmtId="167" fontId="9" fillId="6" borderId="0" xfId="0" applyNumberFormat="1" applyFont="1" applyFill="1"/>
    <xf numFmtId="0" fontId="16" fillId="0" borderId="4" xfId="0" applyFont="1" applyBorder="1"/>
    <xf numFmtId="0" fontId="0" fillId="0" borderId="4" xfId="0" applyBorder="1"/>
    <xf numFmtId="10" fontId="5" fillId="5" borderId="0" xfId="0" applyNumberFormat="1" applyFont="1" applyFill="1"/>
    <xf numFmtId="43" fontId="0" fillId="0" borderId="0" xfId="1" applyFont="1"/>
    <xf numFmtId="43" fontId="9" fillId="6" borderId="0" xfId="1" applyFont="1" applyFill="1"/>
    <xf numFmtId="43" fontId="1" fillId="0" borderId="4" xfId="1" applyFont="1" applyBorder="1"/>
    <xf numFmtId="43" fontId="1" fillId="0" borderId="10" xfId="1" applyFont="1" applyBorder="1"/>
    <xf numFmtId="43" fontId="0" fillId="0" borderId="9" xfId="1" applyFont="1" applyBorder="1"/>
    <xf numFmtId="9" fontId="0" fillId="0" borderId="0" xfId="0" applyNumberFormat="1"/>
    <xf numFmtId="168" fontId="0" fillId="0" borderId="0" xfId="1" applyNumberFormat="1" applyFont="1"/>
    <xf numFmtId="168" fontId="1" fillId="0" borderId="0" xfId="1" applyNumberFormat="1" applyFont="1"/>
    <xf numFmtId="168" fontId="0" fillId="0" borderId="9" xfId="1" applyNumberFormat="1" applyFont="1" applyBorder="1"/>
    <xf numFmtId="168" fontId="16" fillId="0" borderId="0" xfId="1" applyNumberFormat="1" applyFont="1"/>
    <xf numFmtId="168" fontId="5" fillId="0" borderId="0" xfId="1" applyNumberFormat="1" applyFont="1"/>
    <xf numFmtId="43" fontId="19" fillId="0" borderId="0" xfId="1" applyFont="1" applyAlignment="1">
      <alignment horizontal="right"/>
    </xf>
    <xf numFmtId="0" fontId="0" fillId="4" borderId="0" xfId="0" applyFill="1"/>
    <xf numFmtId="0" fontId="1" fillId="0" borderId="0" xfId="0" applyFont="1" applyAlignment="1">
      <alignment horizontal="center"/>
    </xf>
    <xf numFmtId="10" fontId="1" fillId="2" borderId="4" xfId="0" applyNumberFormat="1" applyFont="1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0" fontId="0" fillId="0" borderId="0" xfId="0" applyBorder="1"/>
    <xf numFmtId="0" fontId="0" fillId="0" borderId="12" xfId="0" applyBorder="1"/>
    <xf numFmtId="0" fontId="7" fillId="4" borderId="12" xfId="0" applyFont="1" applyFill="1" applyBorder="1"/>
    <xf numFmtId="0" fontId="2" fillId="0" borderId="12" xfId="0" applyFont="1" applyBorder="1"/>
    <xf numFmtId="166" fontId="6" fillId="4" borderId="12" xfId="0" applyNumberFormat="1" applyFont="1" applyFill="1" applyBorder="1"/>
    <xf numFmtId="0" fontId="1" fillId="0" borderId="12" xfId="0" applyFont="1" applyBorder="1"/>
    <xf numFmtId="4" fontId="2" fillId="0" borderId="12" xfId="0" applyNumberFormat="1" applyFont="1" applyBorder="1"/>
    <xf numFmtId="166" fontId="0" fillId="4" borderId="12" xfId="0" applyNumberFormat="1" applyFill="1" applyBorder="1"/>
    <xf numFmtId="166" fontId="12" fillId="4" borderId="12" xfId="0" applyNumberFormat="1" applyFont="1" applyFill="1" applyBorder="1"/>
    <xf numFmtId="167" fontId="0" fillId="4" borderId="12" xfId="0" applyNumberFormat="1" applyFill="1" applyBorder="1"/>
    <xf numFmtId="166" fontId="2" fillId="0" borderId="12" xfId="0" applyNumberFormat="1" applyFont="1" applyBorder="1"/>
    <xf numFmtId="166" fontId="11" fillId="0" borderId="12" xfId="0" applyNumberFormat="1" applyFont="1" applyBorder="1"/>
    <xf numFmtId="0" fontId="4" fillId="0" borderId="12" xfId="0" applyFont="1" applyBorder="1"/>
    <xf numFmtId="10" fontId="15" fillId="0" borderId="12" xfId="0" applyNumberFormat="1" applyFont="1" applyBorder="1"/>
    <xf numFmtId="10" fontId="6" fillId="0" borderId="12" xfId="0" applyNumberFormat="1" applyFont="1" applyBorder="1"/>
    <xf numFmtId="10" fontId="13" fillId="0" borderId="12" xfId="0" applyNumberFormat="1" applyFont="1" applyBorder="1"/>
    <xf numFmtId="10" fontId="16" fillId="0" borderId="12" xfId="0" applyNumberFormat="1" applyFont="1" applyBorder="1"/>
    <xf numFmtId="0" fontId="1" fillId="0" borderId="8" xfId="0" applyFont="1" applyBorder="1"/>
    <xf numFmtId="166" fontId="2" fillId="0" borderId="8" xfId="0" applyNumberFormat="1" applyFont="1" applyBorder="1"/>
    <xf numFmtId="166" fontId="11" fillId="0" borderId="8" xfId="0" applyNumberFormat="1" applyFont="1" applyBorder="1"/>
    <xf numFmtId="4" fontId="0" fillId="0" borderId="12" xfId="0" applyNumberFormat="1" applyBorder="1"/>
    <xf numFmtId="10" fontId="2" fillId="0" borderId="12" xfId="0" applyNumberFormat="1" applyFont="1" applyBorder="1"/>
    <xf numFmtId="9" fontId="6" fillId="0" borderId="12" xfId="0" applyNumberFormat="1" applyFont="1" applyBorder="1"/>
    <xf numFmtId="4" fontId="7" fillId="4" borderId="12" xfId="0" applyNumberFormat="1" applyFont="1" applyFill="1" applyBorder="1"/>
    <xf numFmtId="0" fontId="0" fillId="0" borderId="14" xfId="0" applyBorder="1"/>
    <xf numFmtId="0" fontId="2" fillId="0" borderId="14" xfId="0" applyFont="1" applyBorder="1"/>
    <xf numFmtId="0" fontId="10" fillId="0" borderId="13" xfId="0" applyFont="1" applyBorder="1"/>
    <xf numFmtId="0" fontId="0" fillId="0" borderId="13" xfId="0" applyBorder="1"/>
    <xf numFmtId="4" fontId="7" fillId="0" borderId="13" xfId="0" applyNumberFormat="1" applyFont="1" applyBorder="1"/>
    <xf numFmtId="166" fontId="1" fillId="0" borderId="13" xfId="0" applyNumberFormat="1" applyFont="1" applyBorder="1"/>
    <xf numFmtId="10" fontId="15" fillId="0" borderId="12" xfId="0" applyNumberFormat="1" applyFont="1" applyBorder="1" applyAlignment="1">
      <alignment horizontal="center"/>
    </xf>
    <xf numFmtId="0" fontId="0" fillId="0" borderId="12" xfId="0" applyFont="1" applyBorder="1"/>
    <xf numFmtId="0" fontId="22" fillId="0" borderId="12" xfId="0" applyFont="1" applyBorder="1"/>
    <xf numFmtId="0" fontId="2" fillId="0" borderId="9" xfId="0" applyFont="1" applyBorder="1"/>
    <xf numFmtId="3" fontId="0" fillId="0" borderId="12" xfId="0" applyNumberFormat="1" applyBorder="1"/>
    <xf numFmtId="166" fontId="0" fillId="0" borderId="12" xfId="0" applyNumberFormat="1" applyBorder="1"/>
    <xf numFmtId="3" fontId="14" fillId="2" borderId="12" xfId="0" applyNumberFormat="1" applyFont="1" applyFill="1" applyBorder="1"/>
    <xf numFmtId="2" fontId="2" fillId="0" borderId="12" xfId="0" applyNumberFormat="1" applyFont="1" applyBorder="1"/>
    <xf numFmtId="167" fontId="2" fillId="0" borderId="12" xfId="0" applyNumberFormat="1" applyFont="1" applyBorder="1"/>
    <xf numFmtId="0" fontId="1" fillId="4" borderId="12" xfId="0" applyFont="1" applyFill="1" applyBorder="1"/>
    <xf numFmtId="0" fontId="0" fillId="0" borderId="12" xfId="0" applyBorder="1" applyAlignment="1">
      <alignment wrapText="1"/>
    </xf>
    <xf numFmtId="0" fontId="0" fillId="0" borderId="15" xfId="0" applyBorder="1"/>
    <xf numFmtId="0" fontId="2" fillId="0" borderId="15" xfId="0" applyFont="1" applyBorder="1"/>
    <xf numFmtId="0" fontId="1" fillId="0" borderId="14" xfId="0" applyFont="1" applyBorder="1"/>
    <xf numFmtId="0" fontId="0" fillId="4" borderId="12" xfId="0" applyFont="1" applyFill="1" applyBorder="1"/>
    <xf numFmtId="4" fontId="2" fillId="0" borderId="14" xfId="0" applyNumberFormat="1" applyFont="1" applyBorder="1"/>
    <xf numFmtId="0" fontId="7" fillId="0" borderId="12" xfId="0" quotePrefix="1" applyFont="1" applyBorder="1" applyAlignment="1">
      <alignment horizontal="center"/>
    </xf>
    <xf numFmtId="166" fontId="0" fillId="0" borderId="14" xfId="0" applyNumberFormat="1" applyFont="1" applyBorder="1"/>
    <xf numFmtId="166" fontId="0" fillId="0" borderId="14" xfId="0" applyNumberFormat="1" applyBorder="1"/>
    <xf numFmtId="166" fontId="0" fillId="0" borderId="15" xfId="0" applyNumberFormat="1" applyBorder="1"/>
    <xf numFmtId="2" fontId="0" fillId="4" borderId="12" xfId="0" applyNumberFormat="1" applyFont="1" applyFill="1" applyBorder="1"/>
    <xf numFmtId="10" fontId="0" fillId="4" borderId="12" xfId="0" applyNumberFormat="1" applyFont="1" applyFill="1" applyBorder="1"/>
    <xf numFmtId="0" fontId="0" fillId="2" borderId="0" xfId="0" applyFill="1" applyAlignment="1"/>
    <xf numFmtId="0" fontId="0" fillId="4" borderId="0" xfId="0" applyFill="1" applyAlignment="1"/>
    <xf numFmtId="0" fontId="3" fillId="6" borderId="0" xfId="0" applyFont="1" applyFill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right" vertical="top"/>
    </xf>
    <xf numFmtId="166" fontId="11" fillId="4" borderId="5" xfId="0" applyNumberFormat="1" applyFont="1" applyFill="1" applyBorder="1"/>
    <xf numFmtId="10" fontId="11" fillId="4" borderId="5" xfId="0" applyNumberFormat="1" applyFont="1" applyFill="1" applyBorder="1"/>
    <xf numFmtId="10" fontId="1" fillId="4" borderId="5" xfId="0" applyNumberFormat="1" applyFont="1" applyFill="1" applyBorder="1"/>
    <xf numFmtId="0" fontId="1" fillId="4" borderId="5" xfId="0" applyFont="1" applyFill="1" applyBorder="1"/>
    <xf numFmtId="0" fontId="0" fillId="4" borderId="5" xfId="0" applyFill="1" applyBorder="1"/>
    <xf numFmtId="4" fontId="0" fillId="4" borderId="0" xfId="0" applyNumberFormat="1" applyFont="1" applyFill="1"/>
    <xf numFmtId="166" fontId="0" fillId="0" borderId="7" xfId="0" applyNumberFormat="1" applyFont="1" applyBorder="1"/>
    <xf numFmtId="10" fontId="2" fillId="0" borderId="6" xfId="0" applyNumberFormat="1" applyFont="1" applyBorder="1"/>
    <xf numFmtId="10" fontId="1" fillId="0" borderId="6" xfId="0" applyNumberFormat="1" applyFont="1" applyBorder="1"/>
    <xf numFmtId="2" fontId="2" fillId="0" borderId="0" xfId="0" applyNumberFormat="1" applyFont="1" applyBorder="1"/>
    <xf numFmtId="2" fontId="0" fillId="0" borderId="0" xfId="0" applyNumberFormat="1" applyBorder="1"/>
    <xf numFmtId="0" fontId="2" fillId="0" borderId="0" xfId="0" applyFont="1" applyBorder="1"/>
    <xf numFmtId="10" fontId="16" fillId="4" borderId="9" xfId="0" applyNumberFormat="1" applyFont="1" applyFill="1" applyBorder="1"/>
    <xf numFmtId="4" fontId="2" fillId="0" borderId="10" xfId="0" applyNumberFormat="1" applyFont="1" applyBorder="1"/>
    <xf numFmtId="168" fontId="0" fillId="0" borderId="10" xfId="1" applyNumberFormat="1" applyFont="1" applyBorder="1"/>
    <xf numFmtId="4" fontId="2" fillId="0" borderId="0" xfId="0" applyNumberFormat="1" applyFont="1" applyBorder="1"/>
    <xf numFmtId="4" fontId="2" fillId="0" borderId="9" xfId="0" applyNumberFormat="1" applyFont="1" applyBorder="1"/>
    <xf numFmtId="0" fontId="2" fillId="2" borderId="12" xfId="0" applyFont="1" applyFill="1" applyBorder="1"/>
    <xf numFmtId="0" fontId="0" fillId="2" borderId="12" xfId="0" applyFill="1" applyBorder="1"/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02F7EBBC-FAC6-4BCE-89C0-62644946B188}"/>
  </tableStyles>
  <colors>
    <mruColors>
      <color rgb="FFFF66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29977-043A-424D-A8C5-923B7261CD91}">
  <dimension ref="A2:N29"/>
  <sheetViews>
    <sheetView showGridLines="0" topLeftCell="B2" zoomScale="96" workbookViewId="0">
      <selection activeCell="G21" sqref="G21"/>
    </sheetView>
  </sheetViews>
  <sheetFormatPr defaultRowHeight="14.4" x14ac:dyDescent="0.3"/>
  <cols>
    <col min="1" max="1" width="3.77734375" customWidth="1"/>
    <col min="2" max="2" width="27.5546875" bestFit="1" customWidth="1"/>
    <col min="4" max="4" width="13.44140625" customWidth="1"/>
    <col min="5" max="5" width="12.44140625" customWidth="1"/>
    <col min="6" max="6" width="13.88671875" customWidth="1"/>
    <col min="7" max="7" width="12.6640625" customWidth="1"/>
    <col min="8" max="8" width="15.77734375" customWidth="1"/>
    <col min="9" max="9" width="14.44140625" customWidth="1"/>
    <col min="10" max="10" width="13.5546875" customWidth="1"/>
    <col min="11" max="11" width="16.5546875" customWidth="1"/>
    <col min="12" max="12" width="14" customWidth="1"/>
    <col min="13" max="13" width="19.6640625" bestFit="1" customWidth="1"/>
    <col min="14" max="14" width="9" bestFit="1" customWidth="1"/>
  </cols>
  <sheetData>
    <row r="2" spans="1:14" ht="15.6" x14ac:dyDescent="0.3">
      <c r="A2" s="137" t="s">
        <v>2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M2" s="7"/>
      <c r="N2" s="8">
        <v>43891</v>
      </c>
    </row>
    <row r="3" spans="1:14" x14ac:dyDescent="0.3">
      <c r="E3" s="1" t="s">
        <v>0</v>
      </c>
      <c r="J3" s="2" t="s">
        <v>1</v>
      </c>
    </row>
    <row r="4" spans="1:14" x14ac:dyDescent="0.3">
      <c r="A4" s="136"/>
      <c r="B4" s="135"/>
      <c r="C4" s="135"/>
      <c r="D4" s="3">
        <v>44256</v>
      </c>
      <c r="E4" s="3">
        <v>44621</v>
      </c>
      <c r="F4" s="3">
        <v>44986</v>
      </c>
      <c r="G4" s="4">
        <v>45352</v>
      </c>
      <c r="H4" s="4">
        <v>45717</v>
      </c>
      <c r="I4" s="4">
        <v>46082</v>
      </c>
      <c r="J4" s="4">
        <v>46447</v>
      </c>
      <c r="K4" s="4">
        <v>46813</v>
      </c>
    </row>
    <row r="5" spans="1:14" x14ac:dyDescent="0.3">
      <c r="B5" s="84"/>
      <c r="C5" s="84"/>
      <c r="D5" s="84"/>
      <c r="E5" s="84"/>
      <c r="F5" s="84"/>
      <c r="G5" s="84"/>
      <c r="H5" s="84"/>
      <c r="I5" s="84"/>
      <c r="J5" s="84"/>
      <c r="K5" s="84"/>
    </row>
    <row r="6" spans="1:14" x14ac:dyDescent="0.3">
      <c r="B6" s="88" t="s">
        <v>3</v>
      </c>
      <c r="C6" s="103"/>
      <c r="D6" s="89">
        <v>156294.18</v>
      </c>
      <c r="E6" s="89">
        <v>233959</v>
      </c>
      <c r="F6" s="94">
        <v>243352</v>
      </c>
      <c r="G6" s="94">
        <f>F6*(1+G7)</f>
        <v>254575.01658304234</v>
      </c>
      <c r="H6" s="94">
        <f t="shared" ref="H6:K6" si="0">G6*(1+H7)</f>
        <v>267835.53289142012</v>
      </c>
      <c r="I6" s="94">
        <f t="shared" si="0"/>
        <v>283385.85610467062</v>
      </c>
      <c r="J6" s="94">
        <f t="shared" si="0"/>
        <v>301530.94252471958</v>
      </c>
      <c r="K6" s="94">
        <f t="shared" si="0"/>
        <v>322638.10850144998</v>
      </c>
      <c r="M6" s="54" t="s">
        <v>212</v>
      </c>
    </row>
    <row r="7" spans="1:14" x14ac:dyDescent="0.3">
      <c r="B7" s="95" t="s">
        <v>4</v>
      </c>
      <c r="C7" s="84"/>
      <c r="D7" s="113" t="s">
        <v>222</v>
      </c>
      <c r="E7" s="104">
        <f>E6/D6-1</f>
        <v>0.49691434447527105</v>
      </c>
      <c r="F7" s="104">
        <f>F6/E6-1</f>
        <v>4.0148060130193786E-2</v>
      </c>
      <c r="G7" s="97">
        <f>F7-($M$7)</f>
        <v>4.6118448104155031E-2</v>
      </c>
      <c r="H7" s="97">
        <f>G7-($M$7)</f>
        <v>5.2088836078116277E-2</v>
      </c>
      <c r="I7" s="97">
        <f>H7-($M$7)</f>
        <v>5.8059224052077522E-2</v>
      </c>
      <c r="J7" s="97">
        <f>I7-($M$7)</f>
        <v>6.4029612026038768E-2</v>
      </c>
      <c r="K7" s="105">
        <v>7.0000000000000007E-2</v>
      </c>
      <c r="L7" s="48"/>
      <c r="M7" s="13">
        <f>(F7-K7)/5</f>
        <v>-5.9703879739612439E-3</v>
      </c>
    </row>
    <row r="8" spans="1:14" x14ac:dyDescent="0.3">
      <c r="B8" s="114" t="s">
        <v>5</v>
      </c>
      <c r="C8" s="84"/>
      <c r="D8" s="106">
        <f>56940.15+601.1+2112.19</f>
        <v>59653.440000000002</v>
      </c>
      <c r="E8" s="86">
        <f>75763+15312-7579+1057+2866</f>
        <v>87419</v>
      </c>
      <c r="F8" s="93">
        <f>101483+15114-3358+1466+3092</f>
        <v>117797</v>
      </c>
      <c r="G8" s="94">
        <f>G6-G9</f>
        <v>105172.16610890778</v>
      </c>
      <c r="H8" s="94">
        <f t="shared" ref="H8:K8" si="1">H6-H9</f>
        <v>113458.65406236399</v>
      </c>
      <c r="I8" s="94">
        <f t="shared" si="1"/>
        <v>124765.50357648876</v>
      </c>
      <c r="J8" s="94">
        <f t="shared" si="1"/>
        <v>128352.5517192675</v>
      </c>
      <c r="K8" s="94">
        <f t="shared" si="1"/>
        <v>138685.98661144069</v>
      </c>
    </row>
    <row r="9" spans="1:14" x14ac:dyDescent="0.3">
      <c r="A9" s="83"/>
      <c r="B9" s="100" t="s">
        <v>6</v>
      </c>
      <c r="C9" s="29"/>
      <c r="D9" s="36">
        <f>D6-D8</f>
        <v>96640.739999999991</v>
      </c>
      <c r="E9" s="101">
        <f>E6-E8</f>
        <v>146540</v>
      </c>
      <c r="F9" s="101">
        <f>F6-F8</f>
        <v>125555</v>
      </c>
      <c r="G9" s="102">
        <f>G6*G10</f>
        <v>149402.85047413455</v>
      </c>
      <c r="H9" s="102">
        <f t="shared" ref="H9:K9" si="2">H6*H10</f>
        <v>154376.87882905614</v>
      </c>
      <c r="I9" s="102">
        <f t="shared" si="2"/>
        <v>158620.35252818186</v>
      </c>
      <c r="J9" s="102">
        <f t="shared" si="2"/>
        <v>173178.39080545207</v>
      </c>
      <c r="K9" s="102">
        <f t="shared" si="2"/>
        <v>183952.12189000929</v>
      </c>
    </row>
    <row r="10" spans="1:14" x14ac:dyDescent="0.3">
      <c r="B10" s="5" t="s">
        <v>7</v>
      </c>
      <c r="D10" s="40">
        <f>D9/D6</f>
        <v>0.61832590311424263</v>
      </c>
      <c r="E10" s="40">
        <f>E9/E6</f>
        <v>0.62634906116028877</v>
      </c>
      <c r="F10" s="40">
        <f>F9/F6</f>
        <v>0.51593987310562472</v>
      </c>
      <c r="G10" s="9">
        <f>AVERAGE(D10:F$10)</f>
        <v>0.58687161246005204</v>
      </c>
      <c r="H10" s="9">
        <f>AVERAGE(E10:G$10)</f>
        <v>0.57638684890865521</v>
      </c>
      <c r="I10" s="9">
        <f>AVERAGE(F10:H$10)</f>
        <v>0.55973277815811062</v>
      </c>
      <c r="J10" s="9">
        <f>AVERAGE(G10:I$10)</f>
        <v>0.57433041317560596</v>
      </c>
      <c r="K10" s="9">
        <f>AVERAGE(H10:J$10)</f>
        <v>0.57015001341412397</v>
      </c>
      <c r="L10" s="48"/>
    </row>
    <row r="11" spans="1:14" ht="4.2" customHeight="1" x14ac:dyDescent="0.3">
      <c r="B11" s="5"/>
      <c r="D11" s="1"/>
      <c r="E11" s="1"/>
      <c r="F11" s="1"/>
    </row>
    <row r="12" spans="1:14" x14ac:dyDescent="0.3">
      <c r="A12" s="83"/>
      <c r="B12" s="115" t="s">
        <v>128</v>
      </c>
      <c r="C12" s="84"/>
      <c r="D12" s="85">
        <f>19908+34.28+7469+5186+8847+10868.31+171.25+2248</f>
        <v>54731.839999999997</v>
      </c>
      <c r="E12" s="86">
        <f>23264+40.52+15985+9571+320+6971+12148+2672</f>
        <v>70971.520000000004</v>
      </c>
      <c r="F12" s="86">
        <f>22419+37.82+11583+338+8059+12467+2923+21475</f>
        <v>79301.820000000007</v>
      </c>
      <c r="G12" s="87">
        <f>G9-G18-G14</f>
        <v>97776.75832773927</v>
      </c>
      <c r="H12" s="87">
        <f t="shared" ref="H12:K12" si="3">H9-H18-H14</f>
        <v>100054.56997171626</v>
      </c>
      <c r="I12" s="87">
        <f t="shared" si="3"/>
        <v>101148.4654853831</v>
      </c>
      <c r="J12" s="87">
        <f t="shared" si="3"/>
        <v>112042.5880025263</v>
      </c>
      <c r="K12" s="87">
        <f t="shared" si="3"/>
        <v>118564.66903841397</v>
      </c>
      <c r="M12" s="54" t="s">
        <v>218</v>
      </c>
    </row>
    <row r="13" spans="1:14" x14ac:dyDescent="0.3">
      <c r="A13" s="83"/>
      <c r="B13" s="114" t="s">
        <v>8</v>
      </c>
      <c r="C13" s="84"/>
      <c r="D13" s="85">
        <f>304.25+509+3483+7163+123+85.41+1530+532</f>
        <v>13729.66</v>
      </c>
      <c r="E13" s="86">
        <f>750+40.52+9311+2517+480+325+83.34+12224+9.78</f>
        <v>25740.639999999999</v>
      </c>
      <c r="F13" s="86">
        <f>6923+1971+696+356+8892+89.59+9.65+37.92</f>
        <v>18975.16</v>
      </c>
      <c r="G13" s="87">
        <f>20%*G12</f>
        <v>19555.351665547856</v>
      </c>
      <c r="H13" s="87">
        <f t="shared" ref="H13:K13" si="4">20%*H12</f>
        <v>20010.913994343253</v>
      </c>
      <c r="I13" s="87">
        <f t="shared" si="4"/>
        <v>20229.693097076623</v>
      </c>
      <c r="J13" s="87">
        <f t="shared" si="4"/>
        <v>22408.517600505264</v>
      </c>
      <c r="K13" s="87">
        <f t="shared" si="4"/>
        <v>23712.933807682795</v>
      </c>
      <c r="M13" s="44" t="s">
        <v>188</v>
      </c>
    </row>
    <row r="14" spans="1:14" x14ac:dyDescent="0.3">
      <c r="A14" s="83"/>
      <c r="B14" s="114" t="s">
        <v>9</v>
      </c>
      <c r="C14" s="84"/>
      <c r="D14" s="89">
        <v>9233.64</v>
      </c>
      <c r="E14" s="86">
        <v>9100.8700000000008</v>
      </c>
      <c r="F14" s="86">
        <v>9335</v>
      </c>
      <c r="G14" s="90">
        <f>SUM(G15:G16)</f>
        <v>8741.5886803639351</v>
      </c>
      <c r="H14" s="90">
        <f t="shared" ref="H14:K14" si="5">SUM(H15:H16)</f>
        <v>9204.0015199750251</v>
      </c>
      <c r="I14" s="90">
        <f t="shared" si="5"/>
        <v>9734.0457908833523</v>
      </c>
      <c r="J14" s="90">
        <f t="shared" si="5"/>
        <v>10341.32609668958</v>
      </c>
      <c r="K14" s="90">
        <f t="shared" si="5"/>
        <v>11037.362775922593</v>
      </c>
    </row>
    <row r="15" spans="1:14" x14ac:dyDescent="0.3">
      <c r="A15" s="83"/>
      <c r="B15" s="84" t="s">
        <v>10</v>
      </c>
      <c r="C15" s="84"/>
      <c r="D15" s="89">
        <v>284.81</v>
      </c>
      <c r="E15" s="86">
        <v>275</v>
      </c>
      <c r="F15" s="86">
        <v>427.46</v>
      </c>
      <c r="G15" s="91">
        <f>'Fixed Assets'!G19</f>
        <v>876.78249180131229</v>
      </c>
      <c r="H15" s="91">
        <f>'Fixed Assets'!H19</f>
        <v>929.52673107021133</v>
      </c>
      <c r="I15" s="91">
        <f>'Fixed Assets'!I19</f>
        <v>979.16141629624929</v>
      </c>
      <c r="J15" s="91">
        <f>'Fixed Assets'!J19</f>
        <v>1025.8698722648339</v>
      </c>
      <c r="K15" s="91">
        <f>'Fixed Assets'!K19</f>
        <v>1069.8246157881135</v>
      </c>
    </row>
    <row r="16" spans="1:14" x14ac:dyDescent="0.3">
      <c r="A16" s="83"/>
      <c r="B16" s="84" t="s">
        <v>11</v>
      </c>
      <c r="C16" s="84"/>
      <c r="D16" s="86">
        <v>7656.72</v>
      </c>
      <c r="E16" s="86">
        <v>7731</v>
      </c>
      <c r="F16" s="86">
        <v>7915</v>
      </c>
      <c r="G16" s="92">
        <f>'Fixed Assets'!G8</f>
        <v>7864.8061885626221</v>
      </c>
      <c r="H16" s="92">
        <f>'Fixed Assets'!H8</f>
        <v>8274.474788904814</v>
      </c>
      <c r="I16" s="92">
        <f>'Fixed Assets'!I8</f>
        <v>8754.8843745871036</v>
      </c>
      <c r="J16" s="92">
        <f>'Fixed Assets'!J8</f>
        <v>9315.4562244247463</v>
      </c>
      <c r="K16" s="92">
        <f>'Fixed Assets'!K8</f>
        <v>9967.5381601344798</v>
      </c>
    </row>
    <row r="17" spans="1:13" x14ac:dyDescent="0.3">
      <c r="A17" s="83"/>
      <c r="B17" s="84"/>
      <c r="C17" s="84"/>
      <c r="D17" s="86"/>
      <c r="E17" s="86"/>
      <c r="F17" s="86"/>
      <c r="G17" s="84"/>
      <c r="H17" s="84"/>
      <c r="I17" s="84"/>
      <c r="J17" s="84"/>
      <c r="K17" s="84"/>
    </row>
    <row r="18" spans="1:13" x14ac:dyDescent="0.3">
      <c r="A18" s="83"/>
      <c r="B18" s="88" t="s">
        <v>12</v>
      </c>
      <c r="C18" s="84"/>
      <c r="D18" s="89">
        <f>D9-D12-D13</f>
        <v>28179.239999999994</v>
      </c>
      <c r="E18" s="86">
        <f>E9-E12-E13</f>
        <v>49827.839999999997</v>
      </c>
      <c r="F18" s="93">
        <f>F9-F12-F13</f>
        <v>27278.019999999993</v>
      </c>
      <c r="G18" s="94">
        <f>G6*G19</f>
        <v>42884.503466031354</v>
      </c>
      <c r="H18" s="94">
        <f t="shared" ref="H18:K18" si="6">H6*H19</f>
        <v>45118.307337364859</v>
      </c>
      <c r="I18" s="94">
        <f t="shared" si="6"/>
        <v>47737.841251915415</v>
      </c>
      <c r="J18" s="94">
        <f t="shared" si="6"/>
        <v>50794.476706236193</v>
      </c>
      <c r="K18" s="94">
        <f t="shared" si="6"/>
        <v>54350.090075672735</v>
      </c>
    </row>
    <row r="19" spans="1:13" x14ac:dyDescent="0.3">
      <c r="A19" s="83"/>
      <c r="B19" s="95" t="s">
        <v>13</v>
      </c>
      <c r="C19" s="84"/>
      <c r="D19" s="96">
        <f>D18/D6</f>
        <v>0.18029615690104389</v>
      </c>
      <c r="E19" s="96">
        <f>E18/E6</f>
        <v>0.21297680362798607</v>
      </c>
      <c r="F19" s="96">
        <f>F18/F6</f>
        <v>0.11209285315099113</v>
      </c>
      <c r="G19" s="97">
        <f>AVERAGE($D19:$F$19)</f>
        <v>0.1684552712266737</v>
      </c>
      <c r="H19" s="97">
        <f>AVERAGE($D19:$F$19)</f>
        <v>0.1684552712266737</v>
      </c>
      <c r="I19" s="97">
        <f>AVERAGE($D19:$F$19)</f>
        <v>0.1684552712266737</v>
      </c>
      <c r="J19" s="97">
        <f>AVERAGE($D19:$F$19)</f>
        <v>0.1684552712266737</v>
      </c>
      <c r="K19" s="97">
        <f>AVERAGE($D19:$F$19)</f>
        <v>0.1684552712266737</v>
      </c>
      <c r="L19" s="48"/>
    </row>
    <row r="20" spans="1:13" x14ac:dyDescent="0.3">
      <c r="A20" s="83"/>
      <c r="B20" s="114" t="s">
        <v>14</v>
      </c>
      <c r="C20" s="84"/>
      <c r="D20" s="86">
        <v>7766</v>
      </c>
      <c r="E20" s="86">
        <v>5663</v>
      </c>
      <c r="F20" s="86">
        <v>6589</v>
      </c>
      <c r="G20" s="92">
        <f>'Debt Schdule'!G9</f>
        <v>8428.83698</v>
      </c>
      <c r="H20" s="92">
        <f>'Debt Schdule'!H9</f>
        <v>7398.6218325351983</v>
      </c>
      <c r="I20" s="92">
        <f>'Debt Schdule'!I9</f>
        <v>7685.9802171734045</v>
      </c>
      <c r="J20" s="92">
        <f>'Debt Schdule'!J9</f>
        <v>8046.2556004048456</v>
      </c>
      <c r="K20" s="92">
        <f>'Debt Schdule'!K9</f>
        <v>7920.807725119198</v>
      </c>
    </row>
    <row r="21" spans="1:13" x14ac:dyDescent="0.3">
      <c r="A21" s="83"/>
      <c r="B21" s="114" t="s">
        <v>15</v>
      </c>
      <c r="C21" s="84"/>
      <c r="D21" s="98">
        <v>0.40799999999999997</v>
      </c>
      <c r="E21" s="98">
        <v>0.16900000000000001</v>
      </c>
      <c r="F21" s="98">
        <v>0.55700000000000005</v>
      </c>
      <c r="G21" s="99">
        <v>0.32800000000000001</v>
      </c>
      <c r="H21" s="99">
        <v>0.64</v>
      </c>
      <c r="I21" s="99">
        <v>0.3</v>
      </c>
      <c r="J21" s="99">
        <f>AVERAGE(D21:I21)</f>
        <v>0.40033333333333326</v>
      </c>
      <c r="K21" s="99">
        <f t="shared" ref="K21" si="7">J21+$M$21</f>
        <v>0.40033333333333326</v>
      </c>
      <c r="L21" s="48"/>
      <c r="M21" s="43"/>
    </row>
    <row r="22" spans="1:13" x14ac:dyDescent="0.3">
      <c r="A22" s="83"/>
      <c r="B22" s="84" t="s">
        <v>16</v>
      </c>
      <c r="C22" s="84"/>
      <c r="D22" s="89">
        <f>D18-D20-D14</f>
        <v>11179.599999999995</v>
      </c>
      <c r="E22" s="89">
        <f>E18-E20-E14</f>
        <v>35063.969999999994</v>
      </c>
      <c r="F22" s="89">
        <f>F18-F20-F14</f>
        <v>11354.019999999993</v>
      </c>
      <c r="G22" s="90">
        <f>G18-G20</f>
        <v>34455.666486031354</v>
      </c>
      <c r="H22" s="90">
        <f>H18-H20</f>
        <v>37719.685504829657</v>
      </c>
      <c r="I22" s="90">
        <f>I18-I20</f>
        <v>40051.861034742011</v>
      </c>
      <c r="J22" s="90">
        <f>J18-J20</f>
        <v>42748.221105831348</v>
      </c>
      <c r="K22" s="90">
        <f>K18-K20</f>
        <v>46429.282350553534</v>
      </c>
    </row>
    <row r="23" spans="1:13" x14ac:dyDescent="0.3">
      <c r="A23" s="83"/>
      <c r="B23" s="84" t="s">
        <v>17</v>
      </c>
      <c r="C23" s="84"/>
      <c r="D23" s="93">
        <f>D21*D22</f>
        <v>4561.2767999999978</v>
      </c>
      <c r="E23" s="93">
        <f t="shared" ref="E23:F23" si="8">E21*E22</f>
        <v>5925.8109299999996</v>
      </c>
      <c r="F23" s="93">
        <f t="shared" si="8"/>
        <v>6324.1891399999968</v>
      </c>
      <c r="G23" s="94">
        <f>G22*G21</f>
        <v>11301.458607418284</v>
      </c>
      <c r="H23" s="94">
        <f t="shared" ref="H23:K23" si="9">H22*H21</f>
        <v>24140.598723090981</v>
      </c>
      <c r="I23" s="94">
        <f t="shared" si="9"/>
        <v>12015.558310422603</v>
      </c>
      <c r="J23" s="94">
        <f t="shared" si="9"/>
        <v>17113.537849367814</v>
      </c>
      <c r="K23" s="94">
        <f t="shared" si="9"/>
        <v>18587.189367671595</v>
      </c>
    </row>
    <row r="24" spans="1:13" ht="15" thickBot="1" x14ac:dyDescent="0.35">
      <c r="A24" s="83"/>
      <c r="B24" s="107"/>
      <c r="C24" s="107"/>
      <c r="D24" s="108"/>
      <c r="E24" s="108"/>
      <c r="F24" s="108"/>
      <c r="G24" s="107"/>
      <c r="H24" s="107"/>
      <c r="I24" s="107"/>
      <c r="J24" s="107"/>
      <c r="K24" s="107"/>
    </row>
    <row r="25" spans="1:13" ht="15" thickBot="1" x14ac:dyDescent="0.35">
      <c r="A25" s="83"/>
      <c r="B25" s="109" t="s">
        <v>129</v>
      </c>
      <c r="C25" s="110"/>
      <c r="D25" s="111">
        <f>D22-D23</f>
        <v>6618.3231999999971</v>
      </c>
      <c r="E25" s="111">
        <f>E22-E23</f>
        <v>29138.159069999994</v>
      </c>
      <c r="F25" s="111">
        <f>F22-F23</f>
        <v>5029.8308599999964</v>
      </c>
      <c r="G25" s="112">
        <f>G18-G23</f>
        <v>31583.04485861307</v>
      </c>
      <c r="H25" s="112">
        <f>H18-H23</f>
        <v>20977.708614273877</v>
      </c>
      <c r="I25" s="112">
        <f>I18-I23</f>
        <v>35722.282941492813</v>
      </c>
      <c r="J25" s="112">
        <f>J18-J23</f>
        <v>33680.938856868379</v>
      </c>
      <c r="K25" s="112">
        <f>K18-K23</f>
        <v>35762.900708001136</v>
      </c>
    </row>
    <row r="26" spans="1:13" ht="15" thickTop="1" x14ac:dyDescent="0.3">
      <c r="G26" s="2"/>
      <c r="H26" s="2"/>
      <c r="I26" s="2"/>
      <c r="J26" s="2"/>
      <c r="K26" s="2"/>
    </row>
    <row r="29" spans="1:13" x14ac:dyDescent="0.3">
      <c r="B29" s="11"/>
      <c r="C29" s="11"/>
      <c r="D29" s="11"/>
    </row>
  </sheetData>
  <mergeCells count="1">
    <mergeCell ref="A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77DB-1AEE-4186-AC17-3BE8C4D8B276}">
  <dimension ref="B2:O21"/>
  <sheetViews>
    <sheetView showGridLines="0" zoomScale="107" workbookViewId="0">
      <selection activeCell="F18" sqref="F18"/>
    </sheetView>
  </sheetViews>
  <sheetFormatPr defaultRowHeight="14.4" x14ac:dyDescent="0.3"/>
  <cols>
    <col min="1" max="1" width="1.88671875" customWidth="1"/>
    <col min="2" max="2" width="19.5546875" bestFit="1" customWidth="1"/>
    <col min="3" max="3" width="11" bestFit="1" customWidth="1"/>
    <col min="4" max="4" width="11.21875" customWidth="1"/>
    <col min="5" max="5" width="11.6640625" customWidth="1"/>
    <col min="6" max="6" width="12.44140625" customWidth="1"/>
    <col min="7" max="7" width="13.33203125" customWidth="1"/>
    <col min="8" max="8" width="20.44140625" bestFit="1" customWidth="1"/>
    <col min="11" max="11" width="7.109375" bestFit="1" customWidth="1"/>
    <col min="12" max="12" width="13" customWidth="1"/>
    <col min="13" max="13" width="14.77734375" customWidth="1"/>
    <col min="14" max="14" width="12.5546875" customWidth="1"/>
    <col min="15" max="15" width="15.5546875" customWidth="1"/>
  </cols>
  <sheetData>
    <row r="2" spans="2:15" ht="16.2" x14ac:dyDescent="0.3">
      <c r="C2" s="139" t="s">
        <v>134</v>
      </c>
      <c r="D2" s="139" t="s">
        <v>135</v>
      </c>
      <c r="E2" s="139" t="s">
        <v>225</v>
      </c>
      <c r="F2" s="139" t="s">
        <v>136</v>
      </c>
      <c r="G2" s="139" t="s">
        <v>137</v>
      </c>
      <c r="H2" s="139" t="s">
        <v>226</v>
      </c>
      <c r="I2" s="139" t="s">
        <v>227</v>
      </c>
    </row>
    <row r="3" spans="2:15" x14ac:dyDescent="0.3">
      <c r="C3" s="140">
        <v>67809</v>
      </c>
      <c r="D3" s="140">
        <f>(105175.32+117098)/2</f>
        <v>111136.66</v>
      </c>
      <c r="E3" s="141">
        <v>0.25168000000000001</v>
      </c>
      <c r="F3" s="142">
        <f>C3/D3</f>
        <v>0.6101407042464656</v>
      </c>
      <c r="G3" s="142">
        <f>100%-F3</f>
        <v>0.3898592957535344</v>
      </c>
      <c r="H3" s="143">
        <f>1.32</f>
        <v>1.32</v>
      </c>
      <c r="I3" s="144"/>
    </row>
    <row r="4" spans="2:15" x14ac:dyDescent="0.3">
      <c r="D4" s="2"/>
    </row>
    <row r="6" spans="2:15" x14ac:dyDescent="0.3">
      <c r="B6" s="82" t="s">
        <v>130</v>
      </c>
      <c r="C6" s="82"/>
      <c r="D6" s="82"/>
      <c r="E6" s="82"/>
      <c r="H6" s="138" t="s">
        <v>139</v>
      </c>
      <c r="I6" s="138"/>
      <c r="J6" s="138"/>
      <c r="K6" s="138"/>
    </row>
    <row r="7" spans="2:15" x14ac:dyDescent="0.3">
      <c r="H7" s="17"/>
      <c r="I7" s="17"/>
      <c r="J7" s="18"/>
      <c r="K7" s="18"/>
    </row>
    <row r="8" spans="2:15" x14ac:dyDescent="0.3">
      <c r="B8" t="s">
        <v>131</v>
      </c>
      <c r="E8" s="11">
        <v>6.7900000000000002E-2</v>
      </c>
      <c r="H8" s="18" t="s">
        <v>140</v>
      </c>
      <c r="I8" s="18"/>
      <c r="J8" s="18"/>
      <c r="K8" s="19">
        <v>0.106</v>
      </c>
      <c r="O8" s="11"/>
    </row>
    <row r="9" spans="2:15" ht="15" thickBot="1" x14ac:dyDescent="0.35">
      <c r="B9" t="s">
        <v>132</v>
      </c>
      <c r="E9" s="11">
        <f>F9-E8</f>
        <v>8.6200000000000013E-2</v>
      </c>
      <c r="F9" s="55">
        <f>15.41%</f>
        <v>0.15410000000000001</v>
      </c>
      <c r="H9" s="18" t="s">
        <v>141</v>
      </c>
      <c r="I9" s="18"/>
      <c r="J9" s="18"/>
      <c r="K9" s="19">
        <f>E3</f>
        <v>0.25168000000000001</v>
      </c>
    </row>
    <row r="10" spans="2:15" ht="15" thickBot="1" x14ac:dyDescent="0.35">
      <c r="B10" t="s">
        <v>133</v>
      </c>
      <c r="E10">
        <f>H3</f>
        <v>1.32</v>
      </c>
      <c r="H10" s="16" t="s">
        <v>142</v>
      </c>
      <c r="I10" s="16"/>
      <c r="J10" s="15"/>
      <c r="K10" s="20">
        <f>K8*(1-K9)</f>
        <v>7.932191999999999E-2</v>
      </c>
    </row>
    <row r="11" spans="2:15" ht="15" thickBot="1" x14ac:dyDescent="0.35">
      <c r="B11" s="16" t="s">
        <v>138</v>
      </c>
      <c r="C11" s="16"/>
      <c r="D11" s="15"/>
      <c r="E11" s="20">
        <f>E8+E9*E10</f>
        <v>0.18168400000000001</v>
      </c>
      <c r="L11" s="14"/>
    </row>
    <row r="15" spans="2:15" x14ac:dyDescent="0.3">
      <c r="B15" s="82" t="s">
        <v>144</v>
      </c>
      <c r="C15" s="82"/>
      <c r="D15" s="82"/>
      <c r="E15" s="82"/>
    </row>
    <row r="17" spans="2:5" x14ac:dyDescent="0.3">
      <c r="B17" s="18"/>
      <c r="C17" s="18"/>
      <c r="D17" s="23" t="s">
        <v>145</v>
      </c>
      <c r="E17" s="24" t="s">
        <v>146</v>
      </c>
    </row>
    <row r="18" spans="2:5" x14ac:dyDescent="0.3">
      <c r="B18" s="2" t="s">
        <v>147</v>
      </c>
      <c r="C18" s="2"/>
      <c r="D18" s="19">
        <f>K10</f>
        <v>7.932191999999999E-2</v>
      </c>
      <c r="E18" s="19">
        <f>G3</f>
        <v>0.3898592957535344</v>
      </c>
    </row>
    <row r="19" spans="2:5" x14ac:dyDescent="0.3">
      <c r="B19" s="2" t="s">
        <v>148</v>
      </c>
      <c r="C19" s="2"/>
      <c r="D19" s="19">
        <f>E11</f>
        <v>0.18168400000000001</v>
      </c>
      <c r="E19" s="19">
        <f>F3</f>
        <v>0.6101407042464656</v>
      </c>
    </row>
    <row r="20" spans="2:5" ht="15" thickBot="1" x14ac:dyDescent="0.35">
      <c r="B20" s="21" t="s">
        <v>143</v>
      </c>
      <c r="C20" s="22"/>
      <c r="D20" s="81">
        <f>SUMPRODUCT(D18:D19,E18:E19)</f>
        <v>0.14177719157933305</v>
      </c>
      <c r="E20" s="81"/>
    </row>
    <row r="21" spans="2:5" ht="15" thickTop="1" x14ac:dyDescent="0.3"/>
  </sheetData>
  <mergeCells count="4">
    <mergeCell ref="B6:E6"/>
    <mergeCell ref="H6:K6"/>
    <mergeCell ref="D20:E20"/>
    <mergeCell ref="B15:E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176BB-5908-4B85-A040-12824F0CCC7B}">
  <dimension ref="B2:K24"/>
  <sheetViews>
    <sheetView showGridLines="0" zoomScale="98" workbookViewId="0">
      <selection activeCell="C13" sqref="C13"/>
    </sheetView>
  </sheetViews>
  <sheetFormatPr defaultRowHeight="14.4" x14ac:dyDescent="0.3"/>
  <cols>
    <col min="1" max="1" width="1.88671875" customWidth="1"/>
    <col min="2" max="2" width="53.88671875" bestFit="1" customWidth="1"/>
    <col min="3" max="3" width="13.21875" customWidth="1"/>
    <col min="4" max="4" width="13.88671875" customWidth="1"/>
    <col min="5" max="6" width="14.21875" customWidth="1"/>
    <col min="7" max="7" width="12.77734375" customWidth="1"/>
    <col min="8" max="8" width="13.109375" customWidth="1"/>
    <col min="9" max="9" width="11.77734375" customWidth="1"/>
    <col min="10" max="10" width="14.5546875" customWidth="1"/>
  </cols>
  <sheetData>
    <row r="2" spans="2:10" x14ac:dyDescent="0.3">
      <c r="B2" s="82" t="s">
        <v>166</v>
      </c>
      <c r="C2" s="82"/>
      <c r="D2" s="82"/>
      <c r="E2" s="82"/>
      <c r="F2" s="82"/>
      <c r="G2" s="82"/>
      <c r="H2" s="82"/>
      <c r="I2" s="82"/>
      <c r="J2" s="82"/>
    </row>
    <row r="3" spans="2:10" ht="15" thickBot="1" x14ac:dyDescent="0.35">
      <c r="C3" s="33"/>
      <c r="D3" s="116" t="s">
        <v>0</v>
      </c>
      <c r="E3" s="33"/>
      <c r="F3" s="33"/>
      <c r="G3" s="33"/>
      <c r="H3" s="33"/>
      <c r="I3" s="32" t="s">
        <v>1</v>
      </c>
      <c r="J3" s="33"/>
    </row>
    <row r="4" spans="2:10" x14ac:dyDescent="0.3">
      <c r="B4" s="25" t="s">
        <v>149</v>
      </c>
      <c r="C4" s="3">
        <v>44256</v>
      </c>
      <c r="D4" s="3">
        <v>44621</v>
      </c>
      <c r="E4" s="3">
        <v>44986</v>
      </c>
      <c r="F4" s="4">
        <v>45352</v>
      </c>
      <c r="G4" s="4">
        <v>45717</v>
      </c>
      <c r="H4" s="4">
        <v>46082</v>
      </c>
      <c r="I4" s="4">
        <v>46447</v>
      </c>
      <c r="J4" s="4">
        <v>46813</v>
      </c>
    </row>
    <row r="5" spans="2:10" x14ac:dyDescent="0.3">
      <c r="B5" s="117" t="s">
        <v>150</v>
      </c>
      <c r="C5" s="86">
        <v>9539</v>
      </c>
      <c r="D5" s="89">
        <v>12246.43</v>
      </c>
      <c r="E5" s="89">
        <v>8257.24</v>
      </c>
      <c r="F5" s="118">
        <f>'Income Statement '!G6/(365/'Working Capital'!E19)</f>
        <v>8638.0510944235539</v>
      </c>
      <c r="G5" s="118">
        <f>'Income Statement '!H6/(365/'Working Capital'!F19)</f>
        <v>13942.123629964335</v>
      </c>
      <c r="H5" s="118">
        <f>'Income Statement '!I6/(365/'Working Capital'!G19)</f>
        <v>14751.592509558197</v>
      </c>
      <c r="I5" s="118">
        <f>'Income Statement '!J6/(365/'Working Capital'!H19)</f>
        <v>15696.13125471143</v>
      </c>
      <c r="J5" s="118">
        <f>'Income Statement '!K6/(365/'Working Capital'!I19)</f>
        <v>16794.860442541234</v>
      </c>
    </row>
    <row r="6" spans="2:10" x14ac:dyDescent="0.3">
      <c r="B6" s="84" t="s">
        <v>151</v>
      </c>
      <c r="C6" s="86">
        <v>33276</v>
      </c>
      <c r="D6" s="89">
        <v>48824.39</v>
      </c>
      <c r="E6" s="89">
        <v>54415.33</v>
      </c>
      <c r="F6" s="118">
        <f>'Income Statement '!G8/(365/'Working Capital'!F20)</f>
        <v>54747.154960801316</v>
      </c>
      <c r="G6" s="118">
        <f>'Income Statement '!H8/(365/'Working Capital'!G20)</f>
        <v>59060.669237942901</v>
      </c>
      <c r="H6" s="118">
        <f>'Income Statement '!I8/(365/'Working Capital'!H20)</f>
        <v>64946.42651926812</v>
      </c>
      <c r="I6" s="118">
        <f>'Income Statement '!J8/(365/'Working Capital'!I20)</f>
        <v>66813.657059344725</v>
      </c>
      <c r="J6" s="118">
        <f>'Income Statement '!K8/(365/'Working Capital'!J20)</f>
        <v>72192.705359380081</v>
      </c>
    </row>
    <row r="7" spans="2:10" x14ac:dyDescent="0.3">
      <c r="B7" s="127" t="s">
        <v>223</v>
      </c>
      <c r="C7" s="86">
        <v>2403</v>
      </c>
      <c r="D7" s="89">
        <v>3803.07</v>
      </c>
      <c r="E7" s="89">
        <v>6057.71</v>
      </c>
      <c r="F7" s="118">
        <f>F21*'Income Statement '!G6</f>
        <v>4796.4415927730679</v>
      </c>
      <c r="G7" s="118">
        <f>G21*'Income Statement '!H6</f>
        <v>5355.7329122195424</v>
      </c>
      <c r="H7" s="118">
        <f>H21*'Income Statement '!I6</f>
        <v>6020.0709506251633</v>
      </c>
      <c r="I7" s="118">
        <f>I21*'Income Statement '!J6</f>
        <v>6038.7296295486249</v>
      </c>
      <c r="J7" s="118">
        <f>J21*'Income Statement '!K6</f>
        <v>6588.9820632668952</v>
      </c>
    </row>
    <row r="8" spans="2:10" x14ac:dyDescent="0.3">
      <c r="B8" s="126" t="s">
        <v>152</v>
      </c>
      <c r="C8" s="108">
        <f>SUM(C5:C7)</f>
        <v>45218</v>
      </c>
      <c r="D8" s="128">
        <f t="shared" ref="D8:E8" si="0">SUM(D5:D7)</f>
        <v>64873.89</v>
      </c>
      <c r="E8" s="128">
        <f t="shared" si="0"/>
        <v>68730.28</v>
      </c>
      <c r="F8" s="130">
        <f>SUM(F5:F7)</f>
        <v>68181.647647997946</v>
      </c>
      <c r="G8" s="130">
        <f t="shared" ref="G8:J8" si="1">SUM(G5:G7)</f>
        <v>78358.525780126773</v>
      </c>
      <c r="H8" s="130">
        <f t="shared" si="1"/>
        <v>85718.08997945147</v>
      </c>
      <c r="I8" s="130">
        <f t="shared" si="1"/>
        <v>88548.517943604791</v>
      </c>
      <c r="J8" s="130">
        <f t="shared" si="1"/>
        <v>95576.547865188215</v>
      </c>
    </row>
    <row r="9" spans="2:10" x14ac:dyDescent="0.3">
      <c r="B9" s="124"/>
      <c r="C9" s="125"/>
      <c r="D9" s="125"/>
      <c r="E9" s="125"/>
      <c r="F9" s="124"/>
      <c r="G9" s="124"/>
      <c r="H9" s="124"/>
      <c r="I9" s="124"/>
      <c r="J9" s="124"/>
    </row>
    <row r="10" spans="2:10" x14ac:dyDescent="0.3">
      <c r="B10" s="119" t="s">
        <v>153</v>
      </c>
      <c r="C10" s="157"/>
      <c r="D10" s="157"/>
      <c r="E10" s="157"/>
      <c r="F10" s="158"/>
      <c r="G10" s="158"/>
      <c r="H10" s="158"/>
      <c r="I10" s="158"/>
      <c r="J10" s="158"/>
    </row>
    <row r="11" spans="2:10" x14ac:dyDescent="0.3">
      <c r="B11" s="84" t="s">
        <v>154</v>
      </c>
      <c r="C11" s="89">
        <v>25967.49</v>
      </c>
      <c r="D11" s="89">
        <v>37832</v>
      </c>
      <c r="E11" s="89">
        <v>36764.870000000003</v>
      </c>
      <c r="F11" s="118">
        <f>'Income Statement '!G8/(365/'Working Capital'!F22)</f>
        <v>43221.438126948407</v>
      </c>
      <c r="G11" s="118">
        <f>'Income Statement '!H8/(365/'Working Capital'!G22)</f>
        <v>46626.844135218082</v>
      </c>
      <c r="H11" s="118">
        <f>'Income Statement '!I8/(365/'Working Capital'!H22)</f>
        <v>51273.494620474834</v>
      </c>
      <c r="I11" s="118">
        <f>'Income Statement '!J8/(365/'Working Capital'!I22)</f>
        <v>52747.623994219524</v>
      </c>
      <c r="J11" s="118">
        <f>'Income Statement '!K8/(365/'Working Capital'!J22)</f>
        <v>56994.241073194811</v>
      </c>
    </row>
    <row r="12" spans="2:10" x14ac:dyDescent="0.3">
      <c r="B12" s="84" t="s">
        <v>155</v>
      </c>
      <c r="C12" s="86">
        <v>4424</v>
      </c>
      <c r="D12" s="89">
        <v>1382.7</v>
      </c>
      <c r="E12" s="89">
        <v>1923.98</v>
      </c>
      <c r="F12" s="118">
        <f>F23*'Income Statement '!G23</f>
        <v>5678.8495224027756</v>
      </c>
      <c r="G12" s="118">
        <f>G23*'Income Statement '!H23</f>
        <v>8369.1344588212705</v>
      </c>
      <c r="H12" s="118">
        <f>H23*'Income Statement '!I23</f>
        <v>4619.5685400670309</v>
      </c>
      <c r="I12" s="118">
        <f>I23*'Income Statement '!J23</f>
        <v>7037.2963418880518</v>
      </c>
      <c r="J12" s="118">
        <f>J23*'Income Statement '!K23</f>
        <v>7077.7587866441045</v>
      </c>
    </row>
    <row r="13" spans="2:10" x14ac:dyDescent="0.3">
      <c r="B13" s="84" t="s">
        <v>156</v>
      </c>
      <c r="C13" s="86">
        <v>15839.15</v>
      </c>
      <c r="D13" s="89">
        <v>18281.02</v>
      </c>
      <c r="E13" s="89">
        <v>18427.830000000002</v>
      </c>
      <c r="F13" s="118">
        <f>F24*'Income Statement '!G12</f>
        <v>25400.898931592659</v>
      </c>
      <c r="G13" s="118">
        <f>G24*'Income Statement '!H12</f>
        <v>25005.070650714024</v>
      </c>
      <c r="H13" s="118">
        <f>H24*'Income Statement '!I12</f>
        <v>25019.910283944773</v>
      </c>
      <c r="I13" s="118">
        <f>I24*'Income Statement '!J12</f>
        <v>28274.21733558039</v>
      </c>
      <c r="J13" s="118">
        <f>J24*'Income Statement '!K12</f>
        <v>29626.347417915713</v>
      </c>
    </row>
    <row r="14" spans="2:10" x14ac:dyDescent="0.3">
      <c r="B14" s="126" t="s">
        <v>157</v>
      </c>
      <c r="C14" s="108">
        <f>SUM(C11:C13)</f>
        <v>46230.64</v>
      </c>
      <c r="D14" s="128">
        <f t="shared" ref="D14:E14" si="2">SUM(D11:D13)</f>
        <v>57495.72</v>
      </c>
      <c r="E14" s="128">
        <f t="shared" si="2"/>
        <v>57116.680000000008</v>
      </c>
      <c r="F14" s="131">
        <f>SUM(F11:F13)</f>
        <v>74301.186580943846</v>
      </c>
      <c r="G14" s="131">
        <f t="shared" ref="G14:J14" si="3">SUM(G11:G13)</f>
        <v>80001.049244753376</v>
      </c>
      <c r="H14" s="131">
        <f t="shared" si="3"/>
        <v>80912.973444486648</v>
      </c>
      <c r="I14" s="131">
        <f t="shared" si="3"/>
        <v>88059.13767168796</v>
      </c>
      <c r="J14" s="131">
        <f t="shared" si="3"/>
        <v>93698.347277754627</v>
      </c>
    </row>
    <row r="15" spans="2:10" x14ac:dyDescent="0.3">
      <c r="B15" s="124"/>
      <c r="C15" s="125"/>
      <c r="D15" s="125"/>
      <c r="E15" s="125"/>
      <c r="F15" s="132"/>
      <c r="G15" s="132"/>
      <c r="H15" s="132"/>
      <c r="I15" s="132"/>
      <c r="J15" s="132"/>
    </row>
    <row r="16" spans="2:10" x14ac:dyDescent="0.3">
      <c r="B16" s="122" t="s">
        <v>158</v>
      </c>
      <c r="C16" s="86">
        <f>C8-C14</f>
        <v>-1012.6399999999994</v>
      </c>
      <c r="D16" s="89">
        <f t="shared" ref="D16:E16" si="4">D8-D14</f>
        <v>7378.1699999999983</v>
      </c>
      <c r="E16" s="89">
        <f t="shared" si="4"/>
        <v>11613.599999999991</v>
      </c>
      <c r="F16" s="118">
        <f>F8-F14</f>
        <v>-6119.5389329458994</v>
      </c>
      <c r="G16" s="118">
        <f t="shared" ref="G16:J16" si="5">G8-G14</f>
        <v>-1642.5234646266035</v>
      </c>
      <c r="H16" s="118">
        <f t="shared" si="5"/>
        <v>4805.1165349648218</v>
      </c>
      <c r="I16" s="118">
        <f t="shared" si="5"/>
        <v>489.38027191683068</v>
      </c>
      <c r="J16" s="118">
        <f t="shared" si="5"/>
        <v>1878.2005874335882</v>
      </c>
    </row>
    <row r="17" spans="2:11" x14ac:dyDescent="0.3">
      <c r="B17" s="122" t="s">
        <v>159</v>
      </c>
      <c r="C17" s="129" t="s">
        <v>224</v>
      </c>
      <c r="D17" s="89">
        <f>D16-(C16)</f>
        <v>8390.8099999999977</v>
      </c>
      <c r="E17" s="89">
        <f>E16-(D16)</f>
        <v>4235.429999999993</v>
      </c>
      <c r="F17" s="118">
        <f>F16-(E16)</f>
        <v>-17733.138932945891</v>
      </c>
      <c r="G17" s="118">
        <f t="shared" ref="G17:J17" si="6">G16-(F16)</f>
        <v>4477.0154683192959</v>
      </c>
      <c r="H17" s="118">
        <f t="shared" si="6"/>
        <v>6447.6399995914253</v>
      </c>
      <c r="I17" s="118">
        <f t="shared" si="6"/>
        <v>-4315.7362630479911</v>
      </c>
      <c r="J17" s="118">
        <f t="shared" si="6"/>
        <v>1388.8203155167575</v>
      </c>
    </row>
    <row r="18" spans="2:11" x14ac:dyDescent="0.3">
      <c r="B18" s="84"/>
      <c r="C18" s="86"/>
      <c r="D18" s="86"/>
      <c r="E18" s="86"/>
      <c r="F18" s="84"/>
      <c r="G18" s="84"/>
      <c r="H18" s="84"/>
      <c r="I18" s="84"/>
      <c r="J18" s="84"/>
    </row>
    <row r="19" spans="2:11" x14ac:dyDescent="0.3">
      <c r="B19" s="84" t="s">
        <v>160</v>
      </c>
      <c r="C19" s="120">
        <f>(C5/'Income Statement '!D6)*365</f>
        <v>22.276805188779264</v>
      </c>
      <c r="D19" s="120">
        <f>(D5/'Income Statement '!E6)*365</f>
        <v>19.105684970443541</v>
      </c>
      <c r="E19" s="120">
        <f>(E5/'Income Statement '!F6)*365</f>
        <v>12.384909924718105</v>
      </c>
      <c r="F19" s="133">
        <v>19</v>
      </c>
      <c r="G19" s="133">
        <v>19</v>
      </c>
      <c r="H19" s="133">
        <v>19</v>
      </c>
      <c r="I19" s="133">
        <v>19</v>
      </c>
      <c r="J19" s="133">
        <v>19</v>
      </c>
      <c r="K19" s="48"/>
    </row>
    <row r="20" spans="2:11" x14ac:dyDescent="0.3">
      <c r="B20" s="84" t="s">
        <v>161</v>
      </c>
      <c r="C20" s="120">
        <f>365/('Income Statement '!D8/'Working Capital'!C6)</f>
        <v>203.60502261059881</v>
      </c>
      <c r="D20" s="120">
        <f>365/('Income Statement '!E8/'Working Capital'!D6)</f>
        <v>203.85616799551585</v>
      </c>
      <c r="E20" s="120">
        <f>365/('Income Statement '!F8/'Working Capital'!E6)</f>
        <v>168.60866957562587</v>
      </c>
      <c r="F20" s="133">
        <v>190</v>
      </c>
      <c r="G20" s="133">
        <v>190</v>
      </c>
      <c r="H20" s="133">
        <v>190</v>
      </c>
      <c r="I20" s="133">
        <v>190</v>
      </c>
      <c r="J20" s="133">
        <v>190</v>
      </c>
      <c r="K20" s="48"/>
    </row>
    <row r="21" spans="2:11" x14ac:dyDescent="0.3">
      <c r="B21" s="84" t="s">
        <v>162</v>
      </c>
      <c r="C21" s="104">
        <f>C7/'Income Statement '!D6</f>
        <v>1.537485272964099E-2</v>
      </c>
      <c r="D21" s="104">
        <f>D7/'Income Statement '!E6</f>
        <v>1.6255284045495151E-2</v>
      </c>
      <c r="E21" s="104">
        <f>E7/'Income Statement '!F6</f>
        <v>2.4892789046319735E-2</v>
      </c>
      <c r="F21" s="134">
        <f>AVERAGE(C21:E21)</f>
        <v>1.8840975273818627E-2</v>
      </c>
      <c r="G21" s="134">
        <f t="shared" ref="G21:J21" si="7">AVERAGE(D21:F21)</f>
        <v>1.9996349455211171E-2</v>
      </c>
      <c r="H21" s="134">
        <f t="shared" si="7"/>
        <v>2.1243371258449845E-2</v>
      </c>
      <c r="I21" s="134">
        <f t="shared" si="7"/>
        <v>2.0026898662493214E-2</v>
      </c>
      <c r="J21" s="134">
        <f t="shared" si="7"/>
        <v>2.0422206458718076E-2</v>
      </c>
      <c r="K21" s="48"/>
    </row>
    <row r="22" spans="2:11" x14ac:dyDescent="0.3">
      <c r="B22" s="84" t="s">
        <v>163</v>
      </c>
      <c r="C22" s="121">
        <f>365/('Income Statement '!D8/'Working Capital'!C11)</f>
        <v>158.88662665556254</v>
      </c>
      <c r="D22" s="121">
        <f>('Working Capital'!D11/'Income Statement '!E8)*365</f>
        <v>157.95971127558082</v>
      </c>
      <c r="E22" s="121">
        <f>('Working Capital'!E11/'Income Statement '!F8)*365</f>
        <v>113.91782091224735</v>
      </c>
      <c r="F22" s="127">
        <f>150</f>
        <v>150</v>
      </c>
      <c r="G22" s="127">
        <f>150</f>
        <v>150</v>
      </c>
      <c r="H22" s="127">
        <f>150</f>
        <v>150</v>
      </c>
      <c r="I22" s="127">
        <f>150</f>
        <v>150</v>
      </c>
      <c r="J22" s="127">
        <f>150</f>
        <v>150</v>
      </c>
      <c r="K22" s="48"/>
    </row>
    <row r="23" spans="2:11" ht="15.6" customHeight="1" x14ac:dyDescent="0.3">
      <c r="B23" s="123" t="s">
        <v>164</v>
      </c>
      <c r="C23" s="104">
        <f>C12/'Income Statement '!D23</f>
        <v>0.96990386551414776</v>
      </c>
      <c r="D23" s="104">
        <f>D12/'Income Statement '!E23</f>
        <v>0.23333515299989502</v>
      </c>
      <c r="E23" s="104">
        <f>E12/'Income Statement '!F23</f>
        <v>0.30422556274147122</v>
      </c>
      <c r="F23" s="134">
        <f>AVERAGE(C23:E23)</f>
        <v>0.50248819375183795</v>
      </c>
      <c r="G23" s="134">
        <f t="shared" ref="G23:J23" si="8">AVERAGE(D23:F23)</f>
        <v>0.34668296983106806</v>
      </c>
      <c r="H23" s="134">
        <f t="shared" si="8"/>
        <v>0.38446557544145904</v>
      </c>
      <c r="I23" s="134">
        <f t="shared" si="8"/>
        <v>0.41121224634145498</v>
      </c>
      <c r="J23" s="134">
        <f t="shared" si="8"/>
        <v>0.38078693053799401</v>
      </c>
      <c r="K23" s="48"/>
    </row>
    <row r="24" spans="2:11" x14ac:dyDescent="0.3">
      <c r="B24" s="84" t="s">
        <v>165</v>
      </c>
      <c r="C24" s="104">
        <f>C13/'Income Statement '!D12</f>
        <v>0.28939553283792396</v>
      </c>
      <c r="D24" s="104">
        <f>D13/'Income Statement '!E12</f>
        <v>0.25758247815461749</v>
      </c>
      <c r="E24" s="104">
        <f>E13/'Income Statement '!F12</f>
        <v>0.23237587737582821</v>
      </c>
      <c r="F24" s="134">
        <f>AVERAGE(C24:E24)</f>
        <v>0.25978462945612324</v>
      </c>
      <c r="G24" s="134">
        <f t="shared" ref="G24:J24" si="9">AVERAGE(D24:F24)</f>
        <v>0.24991432832885629</v>
      </c>
      <c r="H24" s="134">
        <f t="shared" si="9"/>
        <v>0.24735827838693591</v>
      </c>
      <c r="I24" s="134">
        <f t="shared" si="9"/>
        <v>0.25235241205730513</v>
      </c>
      <c r="J24" s="134">
        <f t="shared" si="9"/>
        <v>0.24987500625769909</v>
      </c>
      <c r="K24" s="48"/>
    </row>
  </sheetData>
  <mergeCells count="1">
    <mergeCell ref="B2:J2"/>
  </mergeCells>
  <pageMargins left="0.7" right="0.7" top="0.75" bottom="0.75" header="0.3" footer="0.3"/>
  <ignoredErrors>
    <ignoredError sqref="C8:E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551D5-B79C-4CAB-9289-0582DEF3A473}">
  <dimension ref="A2:L22"/>
  <sheetViews>
    <sheetView showGridLines="0" workbookViewId="0">
      <selection activeCell="J15" sqref="J15"/>
    </sheetView>
  </sheetViews>
  <sheetFormatPr defaultRowHeight="14.4" x14ac:dyDescent="0.3"/>
  <cols>
    <col min="1" max="1" width="1.88671875" customWidth="1"/>
    <col min="2" max="2" width="29.6640625" bestFit="1" customWidth="1"/>
    <col min="3" max="3" width="10.44140625" bestFit="1" customWidth="1"/>
    <col min="4" max="4" width="12.21875" customWidth="1"/>
    <col min="5" max="5" width="13.44140625" customWidth="1"/>
    <col min="6" max="6" width="15.33203125" customWidth="1"/>
    <col min="7" max="7" width="14" customWidth="1"/>
    <col min="8" max="8" width="14.44140625" customWidth="1"/>
    <col min="9" max="9" width="13.77734375" customWidth="1"/>
    <col min="10" max="11" width="14.77734375" customWidth="1"/>
  </cols>
  <sheetData>
    <row r="2" spans="1:12" x14ac:dyDescent="0.3">
      <c r="B2" s="82" t="s">
        <v>167</v>
      </c>
      <c r="C2" s="82"/>
      <c r="D2" s="82"/>
      <c r="E2" s="82"/>
      <c r="F2" s="82"/>
      <c r="G2" s="82"/>
      <c r="H2" s="82"/>
      <c r="I2" s="82"/>
      <c r="J2" s="82"/>
      <c r="K2" s="82"/>
    </row>
    <row r="3" spans="1:12" x14ac:dyDescent="0.3">
      <c r="A3" s="79"/>
      <c r="B3" s="30"/>
      <c r="C3" s="31" t="s">
        <v>187</v>
      </c>
      <c r="D3" s="3">
        <v>44256</v>
      </c>
      <c r="E3" s="3">
        <v>44621</v>
      </c>
      <c r="F3" s="3">
        <v>44986</v>
      </c>
      <c r="G3" s="4">
        <v>45352</v>
      </c>
      <c r="H3" s="4">
        <v>45717</v>
      </c>
      <c r="I3" s="4">
        <v>46082</v>
      </c>
      <c r="J3" s="4">
        <v>46447</v>
      </c>
      <c r="K3" s="4">
        <v>46813</v>
      </c>
    </row>
    <row r="4" spans="1:12" x14ac:dyDescent="0.3">
      <c r="B4" s="2" t="s">
        <v>167</v>
      </c>
    </row>
    <row r="5" spans="1:12" x14ac:dyDescent="0.3">
      <c r="B5" s="28" t="s">
        <v>168</v>
      </c>
      <c r="C5" s="28"/>
      <c r="D5" s="35">
        <f>C9</f>
        <v>119503.98</v>
      </c>
      <c r="E5" s="35">
        <f>D9</f>
        <v>119003.5</v>
      </c>
      <c r="F5" s="35">
        <f>E9</f>
        <v>116166.46</v>
      </c>
      <c r="G5" s="41">
        <f>F9</f>
        <v>118696.74</v>
      </c>
      <c r="H5" s="41">
        <f t="shared" ref="H5:K5" si="0">G9</f>
        <v>119422.70210295854</v>
      </c>
      <c r="I5" s="41">
        <f t="shared" si="0"/>
        <v>125643.29165680525</v>
      </c>
      <c r="J5" s="41">
        <f t="shared" si="0"/>
        <v>132938.04367774821</v>
      </c>
      <c r="K5" s="41">
        <f t="shared" si="0"/>
        <v>141450.01503793505</v>
      </c>
    </row>
    <row r="6" spans="1:12" x14ac:dyDescent="0.3">
      <c r="B6" s="29" t="s">
        <v>169</v>
      </c>
      <c r="C6" s="29"/>
      <c r="D6" s="36">
        <f>D7-D5</f>
        <v>7156.2400000000052</v>
      </c>
      <c r="E6" s="36">
        <f t="shared" ref="E6:G6" si="1">E7-E5</f>
        <v>4893.9600000000064</v>
      </c>
      <c r="F6" s="36">
        <f t="shared" si="1"/>
        <v>10445.279999999999</v>
      </c>
      <c r="G6" s="42">
        <f t="shared" si="1"/>
        <v>8590.7682915211626</v>
      </c>
      <c r="H6" s="42">
        <f>H7-H5</f>
        <v>14495.064342751517</v>
      </c>
      <c r="I6" s="42">
        <f>I7-I5</f>
        <v>16049.636395530062</v>
      </c>
      <c r="J6" s="42">
        <f>J7-J5</f>
        <v>17827.427584611578</v>
      </c>
      <c r="K6" s="42">
        <f t="shared" ref="K6" si="2">K7-K5</f>
        <v>19869.039212789939</v>
      </c>
    </row>
    <row r="7" spans="1:12" x14ac:dyDescent="0.3">
      <c r="B7" s="2" t="s">
        <v>170</v>
      </c>
      <c r="C7" s="28"/>
      <c r="D7" s="35">
        <f>D9+D8</f>
        <v>126660.22</v>
      </c>
      <c r="E7" s="35">
        <f t="shared" ref="E7:F7" si="3">E9+E8</f>
        <v>123897.46</v>
      </c>
      <c r="F7" s="35">
        <f t="shared" si="3"/>
        <v>126611.74</v>
      </c>
      <c r="G7" s="146">
        <f>'Income Statement '!G6/'Fixed Assets'!G13</f>
        <v>127287.50829152117</v>
      </c>
      <c r="H7" s="41">
        <f>'Income Statement '!H6/'Fixed Assets'!H13</f>
        <v>133917.76644571006</v>
      </c>
      <c r="I7" s="41">
        <f>'Income Statement '!I6/'Fixed Assets'!I13</f>
        <v>141692.92805233531</v>
      </c>
      <c r="J7" s="41">
        <f>'Income Statement '!J6/'Fixed Assets'!J13</f>
        <v>150765.47126235979</v>
      </c>
      <c r="K7" s="41">
        <f>'Income Statement '!K6/'Fixed Assets'!K13</f>
        <v>161319.05425072499</v>
      </c>
    </row>
    <row r="8" spans="1:12" x14ac:dyDescent="0.3">
      <c r="B8" s="29" t="s">
        <v>171</v>
      </c>
      <c r="C8" s="29"/>
      <c r="D8" s="37">
        <f>'Income Statement '!D16</f>
        <v>7656.72</v>
      </c>
      <c r="E8" s="37">
        <f>'Income Statement '!E16</f>
        <v>7731</v>
      </c>
      <c r="F8" s="37">
        <f>'Income Statement '!F16</f>
        <v>7915</v>
      </c>
      <c r="G8" s="42">
        <f>G7*G11</f>
        <v>7864.8061885626221</v>
      </c>
      <c r="H8" s="42">
        <f t="shared" ref="H8:K8" si="4">H7*H11</f>
        <v>8274.474788904814</v>
      </c>
      <c r="I8" s="42">
        <f t="shared" si="4"/>
        <v>8754.8843745871036</v>
      </c>
      <c r="J8" s="42">
        <f t="shared" si="4"/>
        <v>9315.4562244247463</v>
      </c>
      <c r="K8" s="42">
        <f t="shared" si="4"/>
        <v>9967.5381601344798</v>
      </c>
    </row>
    <row r="9" spans="1:12" x14ac:dyDescent="0.3">
      <c r="B9" s="2" t="s">
        <v>172</v>
      </c>
      <c r="C9" s="145">
        <v>119503.98</v>
      </c>
      <c r="D9" s="38">
        <v>119003.5</v>
      </c>
      <c r="E9" s="38">
        <v>116166.46</v>
      </c>
      <c r="F9" s="38">
        <v>118696.74</v>
      </c>
      <c r="G9" s="12">
        <f>G7-G8</f>
        <v>119422.70210295854</v>
      </c>
      <c r="H9" s="12">
        <f t="shared" ref="H9:K9" si="5">H7-H8</f>
        <v>125643.29165680525</v>
      </c>
      <c r="I9" s="12">
        <f t="shared" si="5"/>
        <v>132938.04367774821</v>
      </c>
      <c r="J9" s="12">
        <f t="shared" si="5"/>
        <v>141450.01503793505</v>
      </c>
      <c r="K9" s="12">
        <f t="shared" si="5"/>
        <v>151351.51609059051</v>
      </c>
    </row>
    <row r="10" spans="1:12" x14ac:dyDescent="0.3">
      <c r="D10" s="1"/>
      <c r="E10" s="1"/>
      <c r="F10" s="1"/>
    </row>
    <row r="11" spans="1:12" x14ac:dyDescent="0.3">
      <c r="B11" s="26" t="s">
        <v>173</v>
      </c>
      <c r="C11" s="59"/>
      <c r="D11" s="147">
        <f>D8/D7</f>
        <v>6.0450866104606482E-2</v>
      </c>
      <c r="E11" s="147">
        <f t="shared" ref="E11:F11" si="6">E8/E7</f>
        <v>6.2398373622832945E-2</v>
      </c>
      <c r="F11" s="147">
        <f t="shared" si="6"/>
        <v>6.2513950128163465E-2</v>
      </c>
      <c r="G11" s="148">
        <f>AVERAGE($D11:$F11)</f>
        <v>6.1787729951867633E-2</v>
      </c>
      <c r="H11" s="148">
        <f t="shared" ref="H11:K11" si="7">AVERAGE($D11:$F11)</f>
        <v>6.1787729951867633E-2</v>
      </c>
      <c r="I11" s="148">
        <f t="shared" si="7"/>
        <v>6.1787729951867633E-2</v>
      </c>
      <c r="J11" s="148">
        <f t="shared" si="7"/>
        <v>6.1787729951867633E-2</v>
      </c>
      <c r="K11" s="148">
        <f t="shared" si="7"/>
        <v>6.1787729951867633E-2</v>
      </c>
      <c r="L11" s="48"/>
    </row>
    <row r="12" spans="1:12" x14ac:dyDescent="0.3">
      <c r="D12" s="1"/>
      <c r="E12" s="1"/>
      <c r="F12" s="1"/>
    </row>
    <row r="13" spans="1:12" x14ac:dyDescent="0.3">
      <c r="B13" s="2" t="s">
        <v>174</v>
      </c>
      <c r="D13" s="149">
        <f>'Income Statement '!D6/'Fixed Assets'!D7</f>
        <v>1.2339642233370509</v>
      </c>
      <c r="E13" s="149">
        <f>'Income Statement '!E6/'Fixed Assets'!E7</f>
        <v>1.8883276541746699</v>
      </c>
      <c r="F13" s="149">
        <f>'Income Statement '!F6/'Fixed Assets'!F7</f>
        <v>1.9220334544016218</v>
      </c>
      <c r="G13" s="150">
        <v>2</v>
      </c>
      <c r="H13" s="150">
        <v>2</v>
      </c>
      <c r="I13" s="150">
        <v>2</v>
      </c>
      <c r="J13" s="150">
        <v>2</v>
      </c>
      <c r="K13" s="150">
        <v>2</v>
      </c>
      <c r="L13" s="48"/>
    </row>
    <row r="14" spans="1:12" ht="15" thickBot="1" x14ac:dyDescent="0.35">
      <c r="D14" s="151"/>
      <c r="E14" s="151"/>
      <c r="F14" s="151"/>
      <c r="G14" s="83"/>
      <c r="H14" s="83"/>
      <c r="I14" s="83"/>
      <c r="J14" s="83"/>
      <c r="K14" s="83"/>
    </row>
    <row r="15" spans="1:12" x14ac:dyDescent="0.3">
      <c r="B15" s="34" t="s">
        <v>175</v>
      </c>
      <c r="D15" s="1"/>
      <c r="E15" s="1"/>
      <c r="F15" s="1"/>
    </row>
    <row r="16" spans="1:12" x14ac:dyDescent="0.3">
      <c r="B16" s="28" t="s">
        <v>176</v>
      </c>
      <c r="C16" s="28"/>
      <c r="D16" s="35">
        <f>C20</f>
        <v>2442.37</v>
      </c>
      <c r="E16" s="35">
        <f>D20</f>
        <v>2976.04</v>
      </c>
      <c r="F16" s="35">
        <f>E20</f>
        <v>4472.47</v>
      </c>
      <c r="G16" s="41">
        <f>F20</f>
        <v>13100.55</v>
      </c>
      <c r="H16" s="41">
        <f>G20</f>
        <v>13995.197508198688</v>
      </c>
      <c r="I16" s="41">
        <f t="shared" ref="I16:K16" si="8">H20</f>
        <v>14837.100777128477</v>
      </c>
      <c r="J16" s="41">
        <f t="shared" si="8"/>
        <v>15629.36936083223</v>
      </c>
      <c r="K16" s="41">
        <f t="shared" si="8"/>
        <v>16374.929488567395</v>
      </c>
    </row>
    <row r="17" spans="2:11" x14ac:dyDescent="0.3">
      <c r="B17" s="29" t="s">
        <v>177</v>
      </c>
      <c r="C17" s="29"/>
      <c r="D17" s="36">
        <f>D18-D16</f>
        <v>818.48</v>
      </c>
      <c r="E17" s="36">
        <f t="shared" ref="E17:F17" si="9">E18-E16</f>
        <v>1771.4300000000003</v>
      </c>
      <c r="F17" s="36">
        <f t="shared" si="9"/>
        <v>9055.5399999999972</v>
      </c>
      <c r="G17" s="42">
        <f>MEDIAN(D17:F17)</f>
        <v>1771.4300000000003</v>
      </c>
      <c r="H17" s="42">
        <f t="shared" ref="H17:K17" si="10">MEDIAN(E17:G17)</f>
        <v>1771.4300000000003</v>
      </c>
      <c r="I17" s="42">
        <f t="shared" si="10"/>
        <v>1771.4300000000003</v>
      </c>
      <c r="J17" s="42">
        <f t="shared" si="10"/>
        <v>1771.4300000000003</v>
      </c>
      <c r="K17" s="42">
        <f t="shared" si="10"/>
        <v>1771.4300000000003</v>
      </c>
    </row>
    <row r="18" spans="2:11" x14ac:dyDescent="0.3">
      <c r="B18" s="2" t="s">
        <v>178</v>
      </c>
      <c r="C18" s="28"/>
      <c r="D18" s="35">
        <f>D19+D20</f>
        <v>3260.85</v>
      </c>
      <c r="E18" s="35">
        <f t="shared" ref="E18:F18" si="11">E19+E20</f>
        <v>4747.47</v>
      </c>
      <c r="F18" s="35">
        <f t="shared" si="11"/>
        <v>13528.009999999998</v>
      </c>
      <c r="G18" s="41">
        <f>SUM(G16:G17)</f>
        <v>14871.98</v>
      </c>
      <c r="H18" s="41">
        <f t="shared" ref="H18:K18" si="12">SUM(H16:H17)</f>
        <v>15766.627508198688</v>
      </c>
      <c r="I18" s="41">
        <f t="shared" si="12"/>
        <v>16608.530777128479</v>
      </c>
      <c r="J18" s="41">
        <f t="shared" si="12"/>
        <v>17400.799360832229</v>
      </c>
      <c r="K18" s="41">
        <f t="shared" si="12"/>
        <v>18146.359488567396</v>
      </c>
    </row>
    <row r="19" spans="2:11" x14ac:dyDescent="0.3">
      <c r="B19" s="29" t="s">
        <v>179</v>
      </c>
      <c r="C19" s="29"/>
      <c r="D19" s="36">
        <f>'Income Statement '!D15</f>
        <v>284.81</v>
      </c>
      <c r="E19" s="36">
        <f>'Income Statement '!E15</f>
        <v>275</v>
      </c>
      <c r="F19" s="36">
        <f>'Income Statement '!F15</f>
        <v>427.46</v>
      </c>
      <c r="G19" s="42">
        <f>G18*G22</f>
        <v>876.78249180131229</v>
      </c>
      <c r="H19" s="42">
        <f t="shared" ref="H19:K19" si="13">H18*H22</f>
        <v>929.52673107021133</v>
      </c>
      <c r="I19" s="42">
        <f t="shared" si="13"/>
        <v>979.16141629624929</v>
      </c>
      <c r="J19" s="42">
        <f t="shared" si="13"/>
        <v>1025.8698722648339</v>
      </c>
      <c r="K19" s="42">
        <f t="shared" si="13"/>
        <v>1069.8246157881135</v>
      </c>
    </row>
    <row r="20" spans="2:11" x14ac:dyDescent="0.3">
      <c r="B20" s="2" t="s">
        <v>180</v>
      </c>
      <c r="C20" s="145">
        <v>2442.37</v>
      </c>
      <c r="D20" s="38">
        <v>2976.04</v>
      </c>
      <c r="E20" s="38">
        <v>4472.47</v>
      </c>
      <c r="F20" s="38">
        <v>13100.55</v>
      </c>
      <c r="G20" s="12">
        <f>SUM(G18-G19)</f>
        <v>13995.197508198688</v>
      </c>
      <c r="H20" s="12">
        <f t="shared" ref="H20:K20" si="14">SUM(H18-H19)</f>
        <v>14837.100777128477</v>
      </c>
      <c r="I20" s="12">
        <f t="shared" si="14"/>
        <v>15629.36936083223</v>
      </c>
      <c r="J20" s="12">
        <f t="shared" si="14"/>
        <v>16374.929488567395</v>
      </c>
      <c r="K20" s="12">
        <f t="shared" si="14"/>
        <v>17076.534872779281</v>
      </c>
    </row>
    <row r="21" spans="2:11" x14ac:dyDescent="0.3">
      <c r="B21" s="2"/>
      <c r="D21" s="1"/>
      <c r="E21" s="1"/>
      <c r="F21" s="1"/>
    </row>
    <row r="22" spans="2:11" x14ac:dyDescent="0.3">
      <c r="B22" s="26" t="s">
        <v>181</v>
      </c>
      <c r="C22" s="59"/>
      <c r="D22" s="147">
        <f>D19/D18</f>
        <v>8.7342257386877661E-2</v>
      </c>
      <c r="E22" s="147">
        <f t="shared" ref="E22:F22" si="15">E19/E18</f>
        <v>5.7925589840483453E-2</v>
      </c>
      <c r="F22" s="147">
        <f t="shared" si="15"/>
        <v>3.1598143407640888E-2</v>
      </c>
      <c r="G22" s="148">
        <f>AVERAGE($D22:$F22)</f>
        <v>5.895533021166733E-2</v>
      </c>
      <c r="H22" s="148">
        <f t="shared" ref="H22:K22" si="16">AVERAGE($D22:$F22)</f>
        <v>5.895533021166733E-2</v>
      </c>
      <c r="I22" s="148">
        <f t="shared" si="16"/>
        <v>5.895533021166733E-2</v>
      </c>
      <c r="J22" s="148">
        <f t="shared" si="16"/>
        <v>5.895533021166733E-2</v>
      </c>
      <c r="K22" s="148">
        <f t="shared" si="16"/>
        <v>5.895533021166733E-2</v>
      </c>
    </row>
  </sheetData>
  <mergeCells count="1">
    <mergeCell ref="B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191A0-E96E-418C-82C5-60595991D056}">
  <dimension ref="B2:L10"/>
  <sheetViews>
    <sheetView showGridLines="0" workbookViewId="0">
      <selection activeCell="G11" sqref="G11"/>
    </sheetView>
  </sheetViews>
  <sheetFormatPr defaultRowHeight="14.4" x14ac:dyDescent="0.3"/>
  <cols>
    <col min="1" max="1" width="1.88671875" customWidth="1"/>
    <col min="2" max="2" width="30.21875" customWidth="1"/>
    <col min="3" max="3" width="10.44140625" bestFit="1" customWidth="1"/>
    <col min="4" max="4" width="13.6640625" customWidth="1"/>
    <col min="5" max="5" width="12.6640625" customWidth="1"/>
    <col min="6" max="6" width="12.44140625" customWidth="1"/>
    <col min="7" max="7" width="13.5546875" customWidth="1"/>
    <col min="8" max="8" width="14.77734375" customWidth="1"/>
    <col min="9" max="9" width="12.109375" customWidth="1"/>
    <col min="10" max="10" width="15.109375" customWidth="1"/>
    <col min="11" max="11" width="16.109375" customWidth="1"/>
  </cols>
  <sheetData>
    <row r="2" spans="2:12" x14ac:dyDescent="0.3">
      <c r="F2" s="39" t="s">
        <v>0</v>
      </c>
      <c r="J2" s="2" t="s">
        <v>1</v>
      </c>
    </row>
    <row r="3" spans="2:12" x14ac:dyDescent="0.3">
      <c r="B3" s="27" t="s">
        <v>182</v>
      </c>
      <c r="C3" s="27"/>
      <c r="D3" s="3">
        <v>44256</v>
      </c>
      <c r="E3" s="3">
        <v>44621</v>
      </c>
      <c r="F3" s="3">
        <v>44986</v>
      </c>
      <c r="G3" s="4">
        <v>45352</v>
      </c>
      <c r="H3" s="4">
        <v>45717</v>
      </c>
      <c r="I3" s="4">
        <v>46082</v>
      </c>
      <c r="J3" s="4">
        <v>46447</v>
      </c>
      <c r="K3" s="4">
        <v>46813</v>
      </c>
    </row>
    <row r="5" spans="2:12" x14ac:dyDescent="0.3">
      <c r="B5" s="2" t="s">
        <v>176</v>
      </c>
      <c r="D5" s="155">
        <f>C7</f>
        <v>113288</v>
      </c>
      <c r="E5" s="155">
        <f t="shared" ref="E5:K5" si="0">D7</f>
        <v>81900.899999999994</v>
      </c>
      <c r="F5" s="155">
        <f t="shared" si="0"/>
        <v>68828.679999999993</v>
      </c>
      <c r="G5" s="73">
        <f t="shared" si="0"/>
        <v>78017.33</v>
      </c>
      <c r="H5" s="73">
        <f t="shared" si="0"/>
        <v>79517.33</v>
      </c>
      <c r="I5" s="73">
        <f t="shared" si="0"/>
        <v>80517.33</v>
      </c>
      <c r="J5" s="73">
        <f t="shared" si="0"/>
        <v>81666.080000000002</v>
      </c>
      <c r="K5" s="73">
        <f t="shared" si="0"/>
        <v>82666.080000000002</v>
      </c>
    </row>
    <row r="6" spans="2:12" ht="15" thickBot="1" x14ac:dyDescent="0.35">
      <c r="B6" s="2" t="s">
        <v>183</v>
      </c>
      <c r="D6" s="156">
        <f>D7-D5</f>
        <v>-31387.100000000006</v>
      </c>
      <c r="E6" s="156">
        <f t="shared" ref="E6:F6" si="1">E7-E5</f>
        <v>-13072.220000000001</v>
      </c>
      <c r="F6" s="156">
        <f t="shared" si="1"/>
        <v>9188.6500000000087</v>
      </c>
      <c r="G6">
        <v>1500</v>
      </c>
      <c r="H6" s="76">
        <v>1000</v>
      </c>
      <c r="I6" s="76">
        <v>1148.75</v>
      </c>
      <c r="J6" s="76">
        <v>1000</v>
      </c>
      <c r="K6" s="76">
        <v>1200</v>
      </c>
    </row>
    <row r="7" spans="2:12" x14ac:dyDescent="0.3">
      <c r="B7" s="34" t="s">
        <v>184</v>
      </c>
      <c r="C7" s="153">
        <f>94104+19184</f>
        <v>113288</v>
      </c>
      <c r="D7" s="153">
        <f>72408.79+9492.11</f>
        <v>81900.899999999994</v>
      </c>
      <c r="E7" s="153">
        <f>44764.07+24064.61</f>
        <v>68828.679999999993</v>
      </c>
      <c r="F7" s="153">
        <f>51446.33+26571</f>
        <v>78017.33</v>
      </c>
      <c r="G7" s="154">
        <f>SUM(G5:G6)</f>
        <v>79517.33</v>
      </c>
      <c r="H7" s="154">
        <f>SUM(H5:H6)</f>
        <v>80517.33</v>
      </c>
      <c r="I7" s="154">
        <f t="shared" ref="I7:K7" si="2">SUM(I5:I6)</f>
        <v>81666.080000000002</v>
      </c>
      <c r="J7" s="154">
        <f t="shared" si="2"/>
        <v>82666.080000000002</v>
      </c>
      <c r="K7" s="154">
        <f t="shared" si="2"/>
        <v>83866.080000000002</v>
      </c>
    </row>
    <row r="8" spans="2:12" ht="15" thickBot="1" x14ac:dyDescent="0.35">
      <c r="D8" s="1"/>
      <c r="E8" s="1"/>
      <c r="F8" s="1"/>
    </row>
    <row r="9" spans="2:12" ht="15" thickTop="1" x14ac:dyDescent="0.3">
      <c r="B9" s="34" t="s">
        <v>185</v>
      </c>
      <c r="C9" s="45"/>
      <c r="D9" s="47">
        <f>'Income Statement '!D20</f>
        <v>7766</v>
      </c>
      <c r="E9" s="47">
        <f>'Income Statement '!E20</f>
        <v>5663</v>
      </c>
      <c r="F9" s="47">
        <f>'Income Statement '!F20</f>
        <v>6589</v>
      </c>
      <c r="G9" s="154">
        <f>G7*G10</f>
        <v>8428.83698</v>
      </c>
      <c r="H9" s="154">
        <f t="shared" ref="H9:K9" si="3">H7*H10</f>
        <v>7398.6218325351983</v>
      </c>
      <c r="I9" s="154">
        <f t="shared" si="3"/>
        <v>7685.9802171734045</v>
      </c>
      <c r="J9" s="154">
        <f t="shared" si="3"/>
        <v>8046.2556004048456</v>
      </c>
      <c r="K9" s="154">
        <f t="shared" si="3"/>
        <v>7920.807725119198</v>
      </c>
    </row>
    <row r="10" spans="2:12" ht="15" thickBot="1" x14ac:dyDescent="0.35">
      <c r="B10" s="32" t="s">
        <v>186</v>
      </c>
      <c r="C10" s="33"/>
      <c r="D10" s="46">
        <f>D9/D7</f>
        <v>9.4821912823912807E-2</v>
      </c>
      <c r="E10" s="46">
        <f t="shared" ref="E10:F10" si="4">E9/E7</f>
        <v>8.2276748587943288E-2</v>
      </c>
      <c r="F10" s="46">
        <f t="shared" si="4"/>
        <v>8.445559467364494E-2</v>
      </c>
      <c r="G10" s="152">
        <f>'Beta (Discount rate )'!K8</f>
        <v>0.106</v>
      </c>
      <c r="H10" s="152">
        <f>AVERAGE(D10:G10)</f>
        <v>9.1888564021375255E-2</v>
      </c>
      <c r="I10" s="152">
        <f t="shared" ref="I10:K10" si="5">AVERAGE(F10:H10)</f>
        <v>9.4114719565006721E-2</v>
      </c>
      <c r="J10" s="152">
        <f t="shared" si="5"/>
        <v>9.7334427862127315E-2</v>
      </c>
      <c r="K10" s="152">
        <f t="shared" si="5"/>
        <v>9.4445903816169754E-2</v>
      </c>
      <c r="L10" s="4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BBE0A-82B2-4943-90A4-0FDEF6E73C0E}">
  <dimension ref="A2:N40"/>
  <sheetViews>
    <sheetView showGridLines="0" tabSelected="1" zoomScale="86" workbookViewId="0">
      <selection activeCell="E7" sqref="E7"/>
    </sheetView>
  </sheetViews>
  <sheetFormatPr defaultRowHeight="14.4" x14ac:dyDescent="0.3"/>
  <cols>
    <col min="1" max="1" width="2.88671875" customWidth="1"/>
    <col min="2" max="2" width="32.109375" bestFit="1" customWidth="1"/>
    <col min="3" max="3" width="2" customWidth="1"/>
    <col min="4" max="4" width="13.33203125" customWidth="1"/>
    <col min="5" max="5" width="15" customWidth="1"/>
    <col min="6" max="6" width="11.88671875" customWidth="1"/>
    <col min="7" max="7" width="14" customWidth="1"/>
    <col min="8" max="8" width="16" customWidth="1"/>
    <col min="9" max="9" width="12.6640625" bestFit="1" customWidth="1"/>
    <col min="10" max="10" width="11.88671875" bestFit="1" customWidth="1"/>
    <col min="11" max="11" width="9.77734375" bestFit="1" customWidth="1"/>
    <col min="13" max="13" width="15.109375" customWidth="1"/>
    <col min="14" max="14" width="0.5546875" customWidth="1"/>
  </cols>
  <sheetData>
    <row r="2" spans="1:14" x14ac:dyDescent="0.3">
      <c r="B2" s="82" t="s">
        <v>198</v>
      </c>
      <c r="C2" s="82"/>
      <c r="D2" s="82"/>
      <c r="E2" s="82"/>
      <c r="F2" s="82"/>
      <c r="G2" s="82"/>
      <c r="H2" s="82"/>
      <c r="I2" s="51"/>
      <c r="J2" s="51"/>
    </row>
    <row r="3" spans="1:14" x14ac:dyDescent="0.3">
      <c r="A3" s="79"/>
      <c r="B3" s="50"/>
      <c r="C3" s="50"/>
      <c r="D3" s="4">
        <v>45352</v>
      </c>
      <c r="E3" s="4">
        <v>45717</v>
      </c>
      <c r="F3" s="4">
        <v>46082</v>
      </c>
      <c r="G3" s="4">
        <v>46447</v>
      </c>
      <c r="H3" s="4">
        <v>46813</v>
      </c>
      <c r="I3" s="49"/>
      <c r="J3" s="49"/>
    </row>
    <row r="4" spans="1:14" ht="8.4" customHeight="1" x14ac:dyDescent="0.3">
      <c r="B4" s="49"/>
      <c r="C4" s="49"/>
      <c r="D4" s="49"/>
      <c r="E4" s="49"/>
      <c r="F4" s="49"/>
      <c r="G4" s="49"/>
      <c r="H4" s="49"/>
      <c r="I4" s="49"/>
      <c r="J4" s="56"/>
    </row>
    <row r="5" spans="1:14" x14ac:dyDescent="0.3">
      <c r="B5" t="s">
        <v>189</v>
      </c>
      <c r="D5" s="67">
        <f>'Income Statement '!G18</f>
        <v>42884.503466031354</v>
      </c>
      <c r="E5" s="67">
        <f>'Income Statement '!H18</f>
        <v>45118.307337364859</v>
      </c>
      <c r="F5" s="67">
        <f>'Income Statement '!I18</f>
        <v>47737.841251915415</v>
      </c>
      <c r="G5" s="67">
        <f>'Income Statement '!J18</f>
        <v>50794.476706236193</v>
      </c>
      <c r="H5" s="67">
        <f>'Income Statement '!K18</f>
        <v>54350.090075672735</v>
      </c>
      <c r="I5" s="67"/>
    </row>
    <row r="6" spans="1:14" ht="15" thickBot="1" x14ac:dyDescent="0.35">
      <c r="B6" t="s">
        <v>190</v>
      </c>
      <c r="D6" s="67">
        <f>-'Income Statement '!G21*D5</f>
        <v>-14066.117136858285</v>
      </c>
      <c r="E6" s="67">
        <f>-'Income Statement '!H21*E5</f>
        <v>-28875.71669591351</v>
      </c>
      <c r="F6" s="67">
        <f>-'Income Statement '!I21*F5</f>
        <v>-14321.352375574625</v>
      </c>
      <c r="G6" s="67">
        <f>-'Income Statement '!J21*G5</f>
        <v>-20334.722174729886</v>
      </c>
      <c r="H6" s="67">
        <f>-'Income Statement '!K21*H5</f>
        <v>-21758.15272696098</v>
      </c>
      <c r="I6" s="67"/>
    </row>
    <row r="7" spans="1:14" x14ac:dyDescent="0.3">
      <c r="B7" s="34" t="s">
        <v>191</v>
      </c>
      <c r="C7" s="45"/>
      <c r="D7" s="70">
        <f>SUM(D5:D6)</f>
        <v>28818.386329173067</v>
      </c>
      <c r="E7" s="70">
        <f t="shared" ref="E7:H7" si="0">SUM(E5:E6)</f>
        <v>16242.590641451348</v>
      </c>
      <c r="F7" s="70">
        <f t="shared" si="0"/>
        <v>33416.488876340794</v>
      </c>
      <c r="G7" s="70">
        <f t="shared" si="0"/>
        <v>30459.754531506307</v>
      </c>
      <c r="H7" s="70">
        <f t="shared" si="0"/>
        <v>32591.937348711755</v>
      </c>
      <c r="I7" s="67"/>
    </row>
    <row r="8" spans="1:14" x14ac:dyDescent="0.3">
      <c r="B8" t="s">
        <v>192</v>
      </c>
      <c r="D8" s="67">
        <f>'Income Statement '!G14</f>
        <v>8741.5886803639351</v>
      </c>
      <c r="E8" s="67">
        <f>'Income Statement '!H14</f>
        <v>9204.0015199750251</v>
      </c>
      <c r="F8" s="67">
        <f>'Income Statement '!I14</f>
        <v>9734.0457908833523</v>
      </c>
      <c r="G8" s="67">
        <f>'Income Statement '!J14</f>
        <v>10341.32609668958</v>
      </c>
      <c r="H8" s="67">
        <f>'Income Statement '!K14</f>
        <v>11037.362775922593</v>
      </c>
      <c r="I8" s="67"/>
    </row>
    <row r="9" spans="1:14" x14ac:dyDescent="0.3">
      <c r="B9" t="s">
        <v>193</v>
      </c>
      <c r="D9" s="67">
        <f>'Working Capital'!F17</f>
        <v>-17733.138932945891</v>
      </c>
      <c r="E9" s="67">
        <f>'Working Capital'!G17</f>
        <v>4477.0154683192959</v>
      </c>
      <c r="F9" s="67">
        <f>'Working Capital'!H17</f>
        <v>6447.6399995914253</v>
      </c>
      <c r="G9" s="67">
        <f>'Working Capital'!I17</f>
        <v>-4315.7362630479911</v>
      </c>
      <c r="H9" s="67">
        <f>'Working Capital'!J17</f>
        <v>1388.8203155167575</v>
      </c>
      <c r="I9" s="67"/>
    </row>
    <row r="10" spans="1:14" ht="15" thickBot="1" x14ac:dyDescent="0.35">
      <c r="B10" s="33" t="s">
        <v>194</v>
      </c>
      <c r="C10" s="33"/>
      <c r="D10" s="71">
        <f>-'Fixed Assets'!G6</f>
        <v>-8590.7682915211626</v>
      </c>
      <c r="E10" s="71">
        <f>-'Fixed Assets'!H6</f>
        <v>-14495.064342751517</v>
      </c>
      <c r="F10" s="71">
        <f>-'Fixed Assets'!I6</f>
        <v>-16049.636395530062</v>
      </c>
      <c r="G10" s="71">
        <f>-'Fixed Assets'!J6</f>
        <v>-17827.427584611578</v>
      </c>
      <c r="H10" s="71">
        <f>-'Fixed Assets'!K6</f>
        <v>-19869.039212789939</v>
      </c>
      <c r="I10" s="67"/>
    </row>
    <row r="11" spans="1:14" x14ac:dyDescent="0.3">
      <c r="B11" s="48" t="s">
        <v>195</v>
      </c>
      <c r="D11" s="67">
        <f>D7+D8-(D9)+(D10)</f>
        <v>46702.345650961732</v>
      </c>
      <c r="E11" s="67">
        <f>E7+E8-E9+E10</f>
        <v>6474.5123503555587</v>
      </c>
      <c r="F11" s="67">
        <f t="shared" ref="F11:H11" si="1">F7+F8-(F9)+(F10)</f>
        <v>20653.258272102656</v>
      </c>
      <c r="G11" s="67">
        <f t="shared" si="1"/>
        <v>27289.3893066323</v>
      </c>
      <c r="H11" s="67">
        <f t="shared" si="1"/>
        <v>22371.440596327651</v>
      </c>
      <c r="J11" s="11"/>
      <c r="K11" s="11"/>
      <c r="L11" s="11"/>
      <c r="M11" s="11"/>
      <c r="N11" s="11"/>
    </row>
    <row r="12" spans="1:14" x14ac:dyDescent="0.3">
      <c r="B12" s="48" t="s">
        <v>201</v>
      </c>
      <c r="D12">
        <v>0</v>
      </c>
      <c r="E12">
        <v>0.5</v>
      </c>
      <c r="F12">
        <f>E12+1</f>
        <v>1.5</v>
      </c>
      <c r="G12">
        <f t="shared" ref="G12:H12" si="2">F12+1</f>
        <v>2.5</v>
      </c>
      <c r="H12">
        <f t="shared" si="2"/>
        <v>3.5</v>
      </c>
    </row>
    <row r="13" spans="1:14" x14ac:dyDescent="0.3">
      <c r="B13" t="s">
        <v>196</v>
      </c>
      <c r="D13" s="14">
        <f>1/(1+$D$20)^D12</f>
        <v>1</v>
      </c>
      <c r="E13" s="14">
        <f>1/(1+$D$20)^E12</f>
        <v>0.93585662350728993</v>
      </c>
      <c r="F13" s="14">
        <f>1/(1+$D$20)^F12</f>
        <v>0.8196490790053278</v>
      </c>
      <c r="G13" s="14">
        <f>1/(1+$D$20)^G12</f>
        <v>0.71787130190573323</v>
      </c>
      <c r="H13" s="14">
        <f>1/(1+$D$20)^H12</f>
        <v>0.6287315136438808</v>
      </c>
      <c r="K13" s="72"/>
    </row>
    <row r="14" spans="1:14" x14ac:dyDescent="0.3">
      <c r="B14" s="48"/>
      <c r="D14" s="14"/>
      <c r="E14" s="14"/>
      <c r="F14" s="14"/>
      <c r="G14" s="14"/>
      <c r="H14" s="14"/>
    </row>
    <row r="15" spans="1:14" ht="15" thickBot="1" x14ac:dyDescent="0.35">
      <c r="B15" s="64" t="s">
        <v>202</v>
      </c>
      <c r="C15" s="65"/>
      <c r="D15" s="69">
        <f>D11*D13</f>
        <v>46702.345650961732</v>
      </c>
      <c r="E15" s="69">
        <f t="shared" ref="E15:H15" si="3">E11*E13</f>
        <v>6059.2152670600008</v>
      </c>
      <c r="F15" s="69">
        <f t="shared" si="3"/>
        <v>16928.424121188109</v>
      </c>
      <c r="G15" s="69">
        <f t="shared" si="3"/>
        <v>19590.269429764525</v>
      </c>
      <c r="H15" s="69">
        <f t="shared" si="3"/>
        <v>14065.629708523247</v>
      </c>
      <c r="I15" s="80" t="s">
        <v>217</v>
      </c>
      <c r="J15" s="68">
        <f>SUM(D15:H15)</f>
        <v>103345.8841774976</v>
      </c>
    </row>
    <row r="16" spans="1:14" ht="15" thickTop="1" x14ac:dyDescent="0.3"/>
    <row r="18" spans="2:11" x14ac:dyDescent="0.3">
      <c r="B18" s="57" t="s">
        <v>199</v>
      </c>
      <c r="C18" s="57"/>
      <c r="D18" s="66">
        <v>0.1075</v>
      </c>
    </row>
    <row r="19" spans="2:11" x14ac:dyDescent="0.3">
      <c r="B19" s="57" t="s">
        <v>200</v>
      </c>
      <c r="C19" s="57"/>
      <c r="D19" s="66">
        <v>5.3800000000000001E-2</v>
      </c>
      <c r="I19" s="67"/>
    </row>
    <row r="20" spans="2:11" x14ac:dyDescent="0.3">
      <c r="B20" s="57" t="s">
        <v>143</v>
      </c>
      <c r="C20" s="57"/>
      <c r="D20" s="58">
        <f>'Beta (Discount rate )'!D20:E20</f>
        <v>0.14177719157933305</v>
      </c>
    </row>
    <row r="21" spans="2:11" x14ac:dyDescent="0.3">
      <c r="B21" s="52"/>
      <c r="C21" s="52"/>
      <c r="D21" s="53"/>
      <c r="E21" s="52"/>
    </row>
    <row r="22" spans="2:11" x14ac:dyDescent="0.3">
      <c r="B22" s="61" t="s">
        <v>197</v>
      </c>
      <c r="C22" s="61"/>
      <c r="D22" s="63">
        <f>J15</f>
        <v>103345.8841774976</v>
      </c>
    </row>
    <row r="23" spans="2:11" x14ac:dyDescent="0.3">
      <c r="K23" s="12"/>
    </row>
    <row r="24" spans="2:11" x14ac:dyDescent="0.3">
      <c r="B24" s="2" t="s">
        <v>213</v>
      </c>
      <c r="D24" s="78">
        <f>H11*(1+D18)</f>
        <v>24776.37046043287</v>
      </c>
      <c r="K24" s="12"/>
    </row>
    <row r="25" spans="2:11" x14ac:dyDescent="0.3">
      <c r="B25" s="2" t="str">
        <f>B20</f>
        <v>WACC</v>
      </c>
      <c r="D25" s="11">
        <f>D20</f>
        <v>0.14177719157933305</v>
      </c>
      <c r="K25" s="12"/>
    </row>
    <row r="26" spans="2:11" x14ac:dyDescent="0.3">
      <c r="B26" s="2" t="str">
        <f>B19</f>
        <v>Terminal Growth</v>
      </c>
      <c r="C26" s="2"/>
      <c r="D26" s="11">
        <f>D19</f>
        <v>5.3800000000000001E-2</v>
      </c>
      <c r="K26" s="12"/>
    </row>
    <row r="27" spans="2:11" x14ac:dyDescent="0.3">
      <c r="B27" s="59" t="s">
        <v>203</v>
      </c>
      <c r="C27" s="59"/>
      <c r="D27" s="60">
        <f>D24/(D25-D26)</f>
        <v>281622.65714166249</v>
      </c>
      <c r="K27" s="12"/>
    </row>
    <row r="28" spans="2:11" x14ac:dyDescent="0.3">
      <c r="B28" s="2"/>
      <c r="C28" s="2"/>
      <c r="D28" s="11"/>
    </row>
    <row r="29" spans="2:11" x14ac:dyDescent="0.3">
      <c r="B29" s="61" t="s">
        <v>215</v>
      </c>
      <c r="C29" s="62"/>
      <c r="D29" s="62"/>
    </row>
    <row r="30" spans="2:11" x14ac:dyDescent="0.3">
      <c r="B30" t="s">
        <v>214</v>
      </c>
      <c r="D30" s="73">
        <f>J15</f>
        <v>103345.8841774976</v>
      </c>
    </row>
    <row r="31" spans="2:11" x14ac:dyDescent="0.3">
      <c r="B31" t="s">
        <v>216</v>
      </c>
      <c r="D31" s="73">
        <f>D27*H13</f>
        <v>177065.03950108914</v>
      </c>
    </row>
    <row r="32" spans="2:11" x14ac:dyDescent="0.3">
      <c r="D32" s="73"/>
    </row>
    <row r="33" spans="2:4" x14ac:dyDescent="0.3">
      <c r="B33" s="2" t="s">
        <v>204</v>
      </c>
      <c r="D33" s="74">
        <f>SUM(D30:D32)</f>
        <v>280410.92367858673</v>
      </c>
    </row>
    <row r="34" spans="2:4" ht="15" thickBot="1" x14ac:dyDescent="0.35">
      <c r="B34" s="33" t="s">
        <v>205</v>
      </c>
      <c r="C34" s="33"/>
      <c r="D34" s="75">
        <f>12129+1227</f>
        <v>13356</v>
      </c>
    </row>
    <row r="35" spans="2:4" x14ac:dyDescent="0.3">
      <c r="B35" s="2" t="s">
        <v>206</v>
      </c>
      <c r="D35" s="76">
        <f>SUM(D33:D34)</f>
        <v>293766.92367858673</v>
      </c>
    </row>
    <row r="36" spans="2:4" x14ac:dyDescent="0.3">
      <c r="B36" t="s">
        <v>207</v>
      </c>
      <c r="D36" s="73">
        <f>-'Beta (Discount rate )'!C3</f>
        <v>-67809</v>
      </c>
    </row>
    <row r="37" spans="2:4" ht="15" thickBot="1" x14ac:dyDescent="0.35">
      <c r="B37" s="33" t="s">
        <v>208</v>
      </c>
      <c r="C37" s="33"/>
      <c r="D37" s="75">
        <v>-2093.11</v>
      </c>
    </row>
    <row r="38" spans="2:4" x14ac:dyDescent="0.3">
      <c r="B38" s="2" t="s">
        <v>209</v>
      </c>
      <c r="D38" s="73">
        <f>SUM(D35:D37)</f>
        <v>223864.81367858674</v>
      </c>
    </row>
    <row r="39" spans="2:4" x14ac:dyDescent="0.3">
      <c r="B39" t="s">
        <v>210</v>
      </c>
      <c r="D39" s="77">
        <v>1248.3499999999999</v>
      </c>
    </row>
    <row r="40" spans="2:4" x14ac:dyDescent="0.3">
      <c r="B40" s="61" t="s">
        <v>211</v>
      </c>
      <c r="C40" s="62"/>
      <c r="D40" s="63">
        <f>D38/D39</f>
        <v>179.32856464820503</v>
      </c>
    </row>
  </sheetData>
  <mergeCells count="1">
    <mergeCell ref="B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BEE99-7F87-4FC3-AFF6-8FE3A5DCA5C9}">
  <dimension ref="A2:E43"/>
  <sheetViews>
    <sheetView topLeftCell="A28" workbookViewId="0">
      <selection activeCell="C47" sqref="C47"/>
    </sheetView>
  </sheetViews>
  <sheetFormatPr defaultRowHeight="14.4" x14ac:dyDescent="0.3"/>
  <cols>
    <col min="1" max="1" width="24.109375" bestFit="1" customWidth="1"/>
    <col min="2" max="2" width="14.44140625" bestFit="1" customWidth="1"/>
    <col min="3" max="3" width="39.77734375" bestFit="1" customWidth="1"/>
    <col min="4" max="4" width="5.44140625" bestFit="1" customWidth="1"/>
  </cols>
  <sheetData>
    <row r="2" spans="1:5" x14ac:dyDescent="0.3">
      <c r="A2" t="s">
        <v>23</v>
      </c>
      <c r="B2" t="s">
        <v>24</v>
      </c>
      <c r="C2" t="s">
        <v>25</v>
      </c>
    </row>
    <row r="3" spans="1:5" x14ac:dyDescent="0.3">
      <c r="A3" t="s">
        <v>26</v>
      </c>
      <c r="B3" t="s">
        <v>27</v>
      </c>
      <c r="C3">
        <v>0.12</v>
      </c>
    </row>
    <row r="4" spans="1:5" x14ac:dyDescent="0.3">
      <c r="A4" t="s">
        <v>28</v>
      </c>
      <c r="B4" s="10">
        <v>60840</v>
      </c>
      <c r="C4">
        <v>0.09</v>
      </c>
    </row>
    <row r="5" spans="1:5" x14ac:dyDescent="0.3">
      <c r="A5" t="s">
        <v>18</v>
      </c>
    </row>
    <row r="6" spans="1:5" x14ac:dyDescent="0.3">
      <c r="A6" t="s">
        <v>221</v>
      </c>
      <c r="B6" t="s">
        <v>29</v>
      </c>
      <c r="C6" t="s">
        <v>30</v>
      </c>
    </row>
    <row r="7" spans="1:5" x14ac:dyDescent="0.3">
      <c r="A7" t="s">
        <v>31</v>
      </c>
      <c r="B7" t="s">
        <v>32</v>
      </c>
      <c r="C7" t="s">
        <v>33</v>
      </c>
    </row>
    <row r="8" spans="1:5" x14ac:dyDescent="0.3">
      <c r="A8" t="s">
        <v>34</v>
      </c>
      <c r="B8" t="s">
        <v>35</v>
      </c>
      <c r="C8" t="s">
        <v>36</v>
      </c>
      <c r="D8" t="s">
        <v>37</v>
      </c>
      <c r="E8" t="s">
        <v>38</v>
      </c>
    </row>
    <row r="9" spans="1:5" x14ac:dyDescent="0.3">
      <c r="A9" t="s">
        <v>39</v>
      </c>
      <c r="B9" t="s">
        <v>40</v>
      </c>
      <c r="C9" t="s">
        <v>41</v>
      </c>
    </row>
    <row r="10" spans="1:5" x14ac:dyDescent="0.3">
      <c r="A10" t="s">
        <v>219</v>
      </c>
      <c r="B10" t="s">
        <v>220</v>
      </c>
      <c r="C10" s="6">
        <v>3031.01</v>
      </c>
    </row>
    <row r="11" spans="1:5" x14ac:dyDescent="0.3">
      <c r="A11" t="s">
        <v>42</v>
      </c>
      <c r="B11" t="s">
        <v>43</v>
      </c>
      <c r="C11" t="s">
        <v>44</v>
      </c>
    </row>
    <row r="12" spans="1:5" x14ac:dyDescent="0.3">
      <c r="A12" t="s">
        <v>45</v>
      </c>
      <c r="B12" s="6">
        <v>22747</v>
      </c>
      <c r="C12" t="s">
        <v>46</v>
      </c>
    </row>
    <row r="13" spans="1:5" x14ac:dyDescent="0.3">
      <c r="A13" t="s">
        <v>19</v>
      </c>
    </row>
    <row r="14" spans="1:5" x14ac:dyDescent="0.3">
      <c r="A14" t="s">
        <v>47</v>
      </c>
      <c r="B14" t="s">
        <v>48</v>
      </c>
      <c r="C14" t="s">
        <v>49</v>
      </c>
      <c r="D14" t="s">
        <v>50</v>
      </c>
      <c r="E14" t="s">
        <v>51</v>
      </c>
    </row>
    <row r="15" spans="1:5" x14ac:dyDescent="0.3">
      <c r="A15" t="s">
        <v>52</v>
      </c>
      <c r="B15" s="6">
        <v>2525.5</v>
      </c>
      <c r="C15">
        <v>3</v>
      </c>
    </row>
    <row r="16" spans="1:5" x14ac:dyDescent="0.3">
      <c r="A16" t="s">
        <v>53</v>
      </c>
      <c r="B16" t="s">
        <v>54</v>
      </c>
      <c r="C16" t="s">
        <v>55</v>
      </c>
    </row>
    <row r="17" spans="1:5" x14ac:dyDescent="0.3">
      <c r="A17" t="s">
        <v>56</v>
      </c>
      <c r="B17">
        <v>10</v>
      </c>
    </row>
    <row r="18" spans="1:5" x14ac:dyDescent="0.3">
      <c r="A18" t="s">
        <v>57</v>
      </c>
      <c r="B18" t="s">
        <v>58</v>
      </c>
      <c r="C18" t="s">
        <v>59</v>
      </c>
    </row>
    <row r="19" spans="1:5" x14ac:dyDescent="0.3">
      <c r="A19" t="s">
        <v>60</v>
      </c>
      <c r="B19" t="s">
        <v>61</v>
      </c>
      <c r="C19" t="s">
        <v>62</v>
      </c>
      <c r="D19" t="s">
        <v>63</v>
      </c>
    </row>
    <row r="20" spans="1:5" x14ac:dyDescent="0.3">
      <c r="A20" t="s">
        <v>64</v>
      </c>
      <c r="B20" t="s">
        <v>65</v>
      </c>
      <c r="C20" t="s">
        <v>66</v>
      </c>
    </row>
    <row r="21" spans="1:5" x14ac:dyDescent="0.3">
      <c r="A21" t="s">
        <v>67</v>
      </c>
      <c r="B21" t="s">
        <v>68</v>
      </c>
      <c r="C21" t="s">
        <v>69</v>
      </c>
    </row>
    <row r="22" spans="1:5" x14ac:dyDescent="0.3">
      <c r="A22" t="s">
        <v>70</v>
      </c>
      <c r="B22" t="s">
        <v>71</v>
      </c>
      <c r="C22" t="s">
        <v>72</v>
      </c>
      <c r="D22" t="s">
        <v>73</v>
      </c>
      <c r="E22" t="s">
        <v>74</v>
      </c>
    </row>
    <row r="23" spans="1:5" x14ac:dyDescent="0.3">
      <c r="A23" t="s">
        <v>75</v>
      </c>
      <c r="B23">
        <v>773.05</v>
      </c>
      <c r="C23" s="6">
        <v>-1703.58</v>
      </c>
    </row>
    <row r="24" spans="1:5" x14ac:dyDescent="0.3">
      <c r="A24" t="s">
        <v>76</v>
      </c>
      <c r="B24" t="s">
        <v>77</v>
      </c>
      <c r="C24" t="s">
        <v>78</v>
      </c>
    </row>
    <row r="25" spans="1:5" x14ac:dyDescent="0.3">
      <c r="A25" t="s">
        <v>20</v>
      </c>
    </row>
    <row r="26" spans="1:5" x14ac:dyDescent="0.3">
      <c r="A26" t="s">
        <v>79</v>
      </c>
      <c r="B26" t="s">
        <v>80</v>
      </c>
    </row>
    <row r="27" spans="1:5" x14ac:dyDescent="0.3">
      <c r="A27" t="s">
        <v>81</v>
      </c>
      <c r="B27" t="s">
        <v>82</v>
      </c>
      <c r="C27" t="s">
        <v>83</v>
      </c>
    </row>
    <row r="28" spans="1:5" x14ac:dyDescent="0.3">
      <c r="A28" t="s">
        <v>84</v>
      </c>
      <c r="B28" t="s">
        <v>85</v>
      </c>
      <c r="C28" t="s">
        <v>86</v>
      </c>
    </row>
    <row r="29" spans="1:5" x14ac:dyDescent="0.3">
      <c r="A29" t="s">
        <v>87</v>
      </c>
      <c r="B29" t="s">
        <v>88</v>
      </c>
      <c r="C29" t="s">
        <v>89</v>
      </c>
    </row>
    <row r="30" spans="1:5" x14ac:dyDescent="0.3">
      <c r="A30" t="s">
        <v>90</v>
      </c>
      <c r="B30" t="s">
        <v>91</v>
      </c>
      <c r="C30" t="s">
        <v>92</v>
      </c>
    </row>
    <row r="31" spans="1:5" x14ac:dyDescent="0.3">
      <c r="A31" t="s">
        <v>93</v>
      </c>
      <c r="B31" t="s">
        <v>94</v>
      </c>
      <c r="C31" t="s">
        <v>95</v>
      </c>
    </row>
    <row r="32" spans="1:5" x14ac:dyDescent="0.3">
      <c r="A32" t="s">
        <v>96</v>
      </c>
      <c r="B32" t="s">
        <v>97</v>
      </c>
      <c r="C32" t="s">
        <v>98</v>
      </c>
      <c r="D32" t="s">
        <v>99</v>
      </c>
      <c r="E32" t="s">
        <v>100</v>
      </c>
    </row>
    <row r="33" spans="1:5" x14ac:dyDescent="0.3">
      <c r="A33" t="s">
        <v>101</v>
      </c>
      <c r="B33" t="s">
        <v>102</v>
      </c>
      <c r="C33" t="s">
        <v>103</v>
      </c>
    </row>
    <row r="34" spans="1:5" x14ac:dyDescent="0.3">
      <c r="A34" t="s">
        <v>104</v>
      </c>
      <c r="B34" t="s">
        <v>105</v>
      </c>
      <c r="C34" t="s">
        <v>106</v>
      </c>
      <c r="D34" t="s">
        <v>107</v>
      </c>
      <c r="E34" t="s">
        <v>108</v>
      </c>
    </row>
    <row r="35" spans="1:5" x14ac:dyDescent="0.3">
      <c r="A35" t="s">
        <v>109</v>
      </c>
      <c r="B35" t="s">
        <v>110</v>
      </c>
      <c r="C35" t="s">
        <v>111</v>
      </c>
    </row>
    <row r="36" spans="1:5" x14ac:dyDescent="0.3">
      <c r="A36" t="s">
        <v>112</v>
      </c>
      <c r="B36" t="s">
        <v>113</v>
      </c>
      <c r="C36" t="s">
        <v>114</v>
      </c>
    </row>
    <row r="37" spans="1:5" x14ac:dyDescent="0.3">
      <c r="A37" t="s">
        <v>104</v>
      </c>
      <c r="B37" t="s">
        <v>105</v>
      </c>
      <c r="C37" t="s">
        <v>115</v>
      </c>
      <c r="D37" t="s">
        <v>116</v>
      </c>
      <c r="E37" t="s">
        <v>117</v>
      </c>
    </row>
    <row r="38" spans="1:5" x14ac:dyDescent="0.3">
      <c r="A38" t="s">
        <v>118</v>
      </c>
      <c r="B38" t="s">
        <v>119</v>
      </c>
      <c r="C38" t="s">
        <v>120</v>
      </c>
    </row>
    <row r="39" spans="1:5" x14ac:dyDescent="0.3">
      <c r="A39" t="s">
        <v>121</v>
      </c>
      <c r="B39" t="s">
        <v>122</v>
      </c>
      <c r="C39" t="s">
        <v>123</v>
      </c>
    </row>
    <row r="40" spans="1:5" x14ac:dyDescent="0.3">
      <c r="A40" t="s">
        <v>124</v>
      </c>
      <c r="B40">
        <v>310</v>
      </c>
    </row>
    <row r="41" spans="1:5" x14ac:dyDescent="0.3">
      <c r="A41" t="s">
        <v>21</v>
      </c>
    </row>
    <row r="42" spans="1:5" x14ac:dyDescent="0.3">
      <c r="A42" t="s">
        <v>22</v>
      </c>
    </row>
    <row r="43" spans="1:5" x14ac:dyDescent="0.3">
      <c r="A43" t="s">
        <v>125</v>
      </c>
      <c r="B43" t="s">
        <v>126</v>
      </c>
      <c r="C43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Income Statement </vt:lpstr>
      <vt:lpstr>Beta (Discount rate )</vt:lpstr>
      <vt:lpstr>Working Capital</vt:lpstr>
      <vt:lpstr>Fixed Assets</vt:lpstr>
      <vt:lpstr>Debt Schdule</vt:lpstr>
      <vt:lpstr>DCF</vt:lpstr>
      <vt:lpstr>Raw 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 sharma</dc:creator>
  <cp:lastModifiedBy>Lalit sharma</cp:lastModifiedBy>
  <dcterms:created xsi:type="dcterms:W3CDTF">2024-12-14T10:06:19Z</dcterms:created>
  <dcterms:modified xsi:type="dcterms:W3CDTF">2025-01-19T14:17:10Z</dcterms:modified>
</cp:coreProperties>
</file>