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91935\OneDrive\Desktop\Models\"/>
    </mc:Choice>
  </mc:AlternateContent>
  <xr:revisionPtr revIDLastSave="0" documentId="13_ncr:1_{293E856B-3988-42B1-A4F4-95DB3B9F2B97}" xr6:coauthVersionLast="47" xr6:coauthVersionMax="47" xr10:uidLastSave="{00000000-0000-0000-0000-000000000000}"/>
  <bookViews>
    <workbookView xWindow="-108" yWindow="-108" windowWidth="23256" windowHeight="12456" firstSheet="2" activeTab="9" xr2:uid="{012050D5-F2CF-4504-84A8-9CD0269C5EF9}"/>
  </bookViews>
  <sheets>
    <sheet name="Income Statement " sheetId="1" r:id="rId1"/>
    <sheet name="WACC" sheetId="3" r:id="rId2"/>
    <sheet name="Working Capital" sheetId="5" r:id="rId3"/>
    <sheet name="Fixed Assets" sheetId="6" r:id="rId4"/>
    <sheet name="Debt Schdule" sheetId="7" r:id="rId5"/>
    <sheet name="DCF" sheetId="8" r:id="rId6"/>
    <sheet name="Comp_Val" sheetId="9" r:id="rId7"/>
    <sheet name="DuPont Analysis " sheetId="11" r:id="rId8"/>
    <sheet name="Raw Data " sheetId="2" r:id="rId9"/>
    <sheet name="Peer data " sheetId="10" r:id="rId10"/>
    <sheet name="dp " sheetId="12" r:id="rId1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6" i="11" l="1"/>
  <c r="D59" i="11" s="1"/>
  <c r="E56" i="11"/>
  <c r="E59" i="11" s="1"/>
  <c r="F56" i="11"/>
  <c r="F68" i="11" s="1"/>
  <c r="F78" i="11" s="1"/>
  <c r="G56" i="11"/>
  <c r="G68" i="11" s="1"/>
  <c r="G78" i="11" s="1"/>
  <c r="H56" i="11"/>
  <c r="H68" i="11" s="1"/>
  <c r="H78" i="11" s="1"/>
  <c r="I56" i="11"/>
  <c r="I68" i="11" s="1"/>
  <c r="I78" i="11" s="1"/>
  <c r="C56" i="11"/>
  <c r="C59" i="11" s="1"/>
  <c r="D46" i="11"/>
  <c r="D60" i="11" s="1"/>
  <c r="E46" i="11"/>
  <c r="E60" i="11" s="1"/>
  <c r="F46" i="11"/>
  <c r="F60" i="11" s="1"/>
  <c r="G46" i="11"/>
  <c r="G60" i="11" s="1"/>
  <c r="H46" i="11"/>
  <c r="H60" i="11" s="1"/>
  <c r="I46" i="11"/>
  <c r="I60" i="11" s="1"/>
  <c r="C46" i="11"/>
  <c r="C60" i="11" s="1"/>
  <c r="D45" i="11"/>
  <c r="E45" i="11"/>
  <c r="E51" i="11" s="1"/>
  <c r="E67" i="11" s="1"/>
  <c r="E73" i="11" s="1"/>
  <c r="F45" i="11"/>
  <c r="G45" i="11"/>
  <c r="H45" i="11"/>
  <c r="I45" i="11"/>
  <c r="I51" i="11" s="1"/>
  <c r="I67" i="11" s="1"/>
  <c r="C45" i="11"/>
  <c r="C47" i="11" s="1"/>
  <c r="D52" i="11"/>
  <c r="D55" i="11" s="1"/>
  <c r="E52" i="11"/>
  <c r="E55" i="11" s="1"/>
  <c r="F52" i="11"/>
  <c r="F55" i="11" s="1"/>
  <c r="G52" i="11"/>
  <c r="G55" i="11" s="1"/>
  <c r="H52" i="11"/>
  <c r="H55" i="11" s="1"/>
  <c r="I52" i="11"/>
  <c r="I55" i="11" s="1"/>
  <c r="C52" i="11"/>
  <c r="C55" i="11" s="1"/>
  <c r="C57" i="11" s="1"/>
  <c r="C51" i="11"/>
  <c r="G13" i="1"/>
  <c r="B73" i="11"/>
  <c r="B60" i="11"/>
  <c r="B59" i="11"/>
  <c r="B68" i="11" s="1"/>
  <c r="B51" i="11"/>
  <c r="I50" i="11"/>
  <c r="I66" i="11" s="1"/>
  <c r="I72" i="11" s="1"/>
  <c r="D50" i="11"/>
  <c r="D66" i="11" s="1"/>
  <c r="D72" i="11" s="1"/>
  <c r="C50" i="11"/>
  <c r="C66" i="11" s="1"/>
  <c r="C72" i="11" s="1"/>
  <c r="H50" i="11"/>
  <c r="H66" i="11" s="1"/>
  <c r="H72" i="11" s="1"/>
  <c r="G50" i="11"/>
  <c r="G66" i="11" s="1"/>
  <c r="G72" i="11" s="1"/>
  <c r="F50" i="11"/>
  <c r="F66" i="11" s="1"/>
  <c r="F72" i="11" s="1"/>
  <c r="E50" i="11"/>
  <c r="E66" i="11" s="1"/>
  <c r="E72" i="11" s="1"/>
  <c r="H47" i="11" l="1"/>
  <c r="H57" i="11"/>
  <c r="G57" i="11"/>
  <c r="F57" i="11"/>
  <c r="E57" i="11"/>
  <c r="I47" i="11"/>
  <c r="I57" i="11"/>
  <c r="D47" i="11"/>
  <c r="D74" i="11"/>
  <c r="D77" i="11" s="1"/>
  <c r="D57" i="11"/>
  <c r="G59" i="11"/>
  <c r="G61" i="11" s="1"/>
  <c r="H59" i="11"/>
  <c r="I59" i="11"/>
  <c r="I61" i="11" s="1"/>
  <c r="D51" i="11"/>
  <c r="D67" i="11" s="1"/>
  <c r="D73" i="11" s="1"/>
  <c r="D68" i="11"/>
  <c r="D78" i="11" s="1"/>
  <c r="C53" i="11"/>
  <c r="C67" i="11"/>
  <c r="G74" i="11"/>
  <c r="G77" i="11" s="1"/>
  <c r="G79" i="11" s="1"/>
  <c r="F74" i="11"/>
  <c r="F77" i="11" s="1"/>
  <c r="F79" i="11" s="1"/>
  <c r="H61" i="11"/>
  <c r="G47" i="11"/>
  <c r="F47" i="11"/>
  <c r="H51" i="11"/>
  <c r="H67" i="11" s="1"/>
  <c r="C61" i="11"/>
  <c r="E74" i="11"/>
  <c r="E77" i="11" s="1"/>
  <c r="F59" i="11"/>
  <c r="F61" i="11" s="1"/>
  <c r="C68" i="11"/>
  <c r="C78" i="11" s="1"/>
  <c r="I74" i="11"/>
  <c r="I77" i="11" s="1"/>
  <c r="I79" i="11" s="1"/>
  <c r="H74" i="11"/>
  <c r="H77" i="11" s="1"/>
  <c r="H79" i="11" s="1"/>
  <c r="E53" i="11"/>
  <c r="I69" i="11"/>
  <c r="I73" i="11"/>
  <c r="C74" i="11"/>
  <c r="C77" i="11" s="1"/>
  <c r="E61" i="11"/>
  <c r="D61" i="11"/>
  <c r="E47" i="11"/>
  <c r="F51" i="11"/>
  <c r="E68" i="11"/>
  <c r="G51" i="11"/>
  <c r="I53" i="11"/>
  <c r="D75" i="11" l="1"/>
  <c r="D53" i="11"/>
  <c r="D79" i="11"/>
  <c r="D81" i="11" s="1"/>
  <c r="D69" i="11"/>
  <c r="H53" i="11"/>
  <c r="C63" i="11"/>
  <c r="C69" i="11"/>
  <c r="I63" i="11"/>
  <c r="C79" i="11"/>
  <c r="I75" i="11"/>
  <c r="I81" i="11" s="1"/>
  <c r="E63" i="11"/>
  <c r="C73" i="11"/>
  <c r="C75" i="11" s="1"/>
  <c r="E75" i="11"/>
  <c r="H63" i="11"/>
  <c r="E78" i="11"/>
  <c r="E79" i="11" s="1"/>
  <c r="E69" i="11"/>
  <c r="F67" i="11"/>
  <c r="F53" i="11"/>
  <c r="F63" i="11" s="1"/>
  <c r="H69" i="11"/>
  <c r="H73" i="11"/>
  <c r="H75" i="11" s="1"/>
  <c r="H81" i="11" s="1"/>
  <c r="D63" i="11"/>
  <c r="G53" i="11"/>
  <c r="G63" i="11" s="1"/>
  <c r="G67" i="11"/>
  <c r="C81" i="11" l="1"/>
  <c r="E81" i="11"/>
  <c r="G69" i="11"/>
  <c r="G73" i="11"/>
  <c r="G75" i="11" s="1"/>
  <c r="G81" i="11" s="1"/>
  <c r="F69" i="11"/>
  <c r="F73" i="11"/>
  <c r="F75" i="11" s="1"/>
  <c r="F81" i="11" s="1"/>
  <c r="K10" i="9" l="1"/>
  <c r="K11" i="9"/>
  <c r="K12" i="9"/>
  <c r="K13" i="9"/>
  <c r="K14" i="9"/>
  <c r="K15" i="9"/>
  <c r="K9" i="9"/>
  <c r="J10" i="9"/>
  <c r="J11" i="9"/>
  <c r="J12" i="9"/>
  <c r="J13" i="9"/>
  <c r="J14" i="9"/>
  <c r="J15" i="9"/>
  <c r="L10" i="9"/>
  <c r="L11" i="9"/>
  <c r="L12" i="9"/>
  <c r="L13" i="9"/>
  <c r="L14" i="9"/>
  <c r="L15" i="9"/>
  <c r="L9" i="9"/>
  <c r="J9" i="9"/>
  <c r="G10" i="9"/>
  <c r="N27" i="9" s="1"/>
  <c r="G11" i="9"/>
  <c r="G12" i="9"/>
  <c r="G13" i="9"/>
  <c r="G14" i="9"/>
  <c r="G15" i="9"/>
  <c r="G9" i="9"/>
  <c r="I5" i="10"/>
  <c r="I6" i="10"/>
  <c r="I7" i="10"/>
  <c r="I8" i="10"/>
  <c r="I9" i="10"/>
  <c r="I10" i="10"/>
  <c r="I4" i="10"/>
  <c r="E10" i="9"/>
  <c r="F10" i="9" s="1"/>
  <c r="E11" i="9"/>
  <c r="E12" i="9"/>
  <c r="E13" i="9"/>
  <c r="E14" i="9"/>
  <c r="E15" i="9"/>
  <c r="E9" i="9"/>
  <c r="D10" i="9"/>
  <c r="D11" i="9"/>
  <c r="D12" i="9"/>
  <c r="D13" i="9"/>
  <c r="D14" i="9"/>
  <c r="D15" i="9"/>
  <c r="D9" i="9"/>
  <c r="B10" i="9"/>
  <c r="B11" i="9"/>
  <c r="B12" i="9"/>
  <c r="B13" i="9"/>
  <c r="B14" i="9"/>
  <c r="B15" i="9"/>
  <c r="B9" i="9"/>
  <c r="F5" i="10"/>
  <c r="J5" i="10" s="1"/>
  <c r="H10" i="9" s="1"/>
  <c r="F6" i="10"/>
  <c r="J6" i="10" s="1"/>
  <c r="H11" i="9" s="1"/>
  <c r="N11" i="9" s="1"/>
  <c r="F7" i="10"/>
  <c r="J7" i="10" s="1"/>
  <c r="H12" i="9" s="1"/>
  <c r="F8" i="10"/>
  <c r="J8" i="10" s="1"/>
  <c r="H13" i="9" s="1"/>
  <c r="O13" i="9" s="1"/>
  <c r="F9" i="10"/>
  <c r="J9" i="10" s="1"/>
  <c r="H14" i="9" s="1"/>
  <c r="N14" i="9" s="1"/>
  <c r="F10" i="10"/>
  <c r="J10" i="10" s="1"/>
  <c r="H15" i="9" s="1"/>
  <c r="F4" i="10"/>
  <c r="J4" i="10" s="1"/>
  <c r="H9" i="9" s="1"/>
  <c r="O9" i="9" s="1"/>
  <c r="F14" i="9" l="1"/>
  <c r="P14" i="9" s="1"/>
  <c r="N10" i="9"/>
  <c r="F13" i="9"/>
  <c r="P13" i="9" s="1"/>
  <c r="F12" i="9"/>
  <c r="P12" i="9" s="1"/>
  <c r="P10" i="9"/>
  <c r="N12" i="9"/>
  <c r="O12" i="9"/>
  <c r="N13" i="9"/>
  <c r="N15" i="9"/>
  <c r="F15" i="9"/>
  <c r="P15" i="9" s="1"/>
  <c r="O29" i="9"/>
  <c r="O14" i="9"/>
  <c r="O19" i="9" s="1"/>
  <c r="P27" i="9"/>
  <c r="O11" i="9"/>
  <c r="O27" i="9"/>
  <c r="O28" i="9" s="1"/>
  <c r="N9" i="9"/>
  <c r="N29" i="9"/>
  <c r="P29" i="9"/>
  <c r="F9" i="9"/>
  <c r="P9" i="9" s="1"/>
  <c r="F11" i="9"/>
  <c r="P11" i="9" s="1"/>
  <c r="O31" i="9" l="1"/>
  <c r="O22" i="9"/>
  <c r="O20" i="9"/>
  <c r="P21" i="9"/>
  <c r="P18" i="9"/>
  <c r="P19" i="9"/>
  <c r="O17" i="9"/>
  <c r="P22" i="9"/>
  <c r="P17" i="9"/>
  <c r="P20" i="9"/>
  <c r="P26" i="9" s="1"/>
  <c r="P28" i="9" s="1"/>
  <c r="P31" i="9" s="1"/>
  <c r="O21" i="9"/>
  <c r="O18" i="9"/>
  <c r="N19" i="9"/>
  <c r="N21" i="9"/>
  <c r="N17" i="9"/>
  <c r="N20" i="9"/>
  <c r="N26" i="9" s="1"/>
  <c r="N28" i="9" s="1"/>
  <c r="N31" i="9" s="1"/>
  <c r="N18" i="9"/>
  <c r="N22" i="9"/>
  <c r="F25" i="8" l="1"/>
  <c r="F26" i="8" s="1"/>
  <c r="F27" i="8" s="1"/>
  <c r="F24" i="8"/>
  <c r="I22" i="8"/>
  <c r="J22" i="8"/>
  <c r="K22" i="8"/>
  <c r="H22" i="8"/>
  <c r="D35" i="8" l="1"/>
  <c r="C26" i="3"/>
  <c r="C25" i="3"/>
  <c r="I12" i="3"/>
  <c r="F12" i="3"/>
  <c r="I11" i="3"/>
  <c r="F11" i="3"/>
  <c r="J18" i="3" s="1"/>
  <c r="J19" i="3" s="1"/>
  <c r="J28" i="3" s="1"/>
  <c r="H7" i="3"/>
  <c r="H8" i="3"/>
  <c r="H9" i="3"/>
  <c r="G7" i="3"/>
  <c r="J7" i="3" s="1"/>
  <c r="G8" i="3"/>
  <c r="J8" i="3" s="1"/>
  <c r="G9" i="3"/>
  <c r="J9" i="3" s="1"/>
  <c r="H6" i="3"/>
  <c r="G6" i="3"/>
  <c r="H11" i="3" l="1"/>
  <c r="E25" i="3" s="1"/>
  <c r="J29" i="3" s="1"/>
  <c r="E34" i="3"/>
  <c r="C27" i="3"/>
  <c r="D27" i="3" s="1"/>
  <c r="E27" i="3" s="1"/>
  <c r="H12" i="3"/>
  <c r="G12" i="3"/>
  <c r="J6" i="3"/>
  <c r="J12" i="3" s="1"/>
  <c r="E32" i="3" s="1"/>
  <c r="G11" i="3"/>
  <c r="G39" i="3"/>
  <c r="G41" i="3" s="1"/>
  <c r="F17" i="3" s="1"/>
  <c r="J25" i="1"/>
  <c r="D25" i="8"/>
  <c r="B25" i="8"/>
  <c r="B24" i="8"/>
  <c r="F12" i="8"/>
  <c r="G12" i="8" s="1"/>
  <c r="H12" i="8" s="1"/>
  <c r="D25" i="3" l="1"/>
  <c r="E26" i="3"/>
  <c r="J26" i="3" s="1"/>
  <c r="D26" i="3"/>
  <c r="J11" i="3"/>
  <c r="D33" i="8"/>
  <c r="D29" i="3" l="1"/>
  <c r="E29" i="3"/>
  <c r="E33" i="3" s="1"/>
  <c r="E35" i="3" s="1"/>
  <c r="E18" i="3" s="1"/>
  <c r="G5" i="7"/>
  <c r="E6" i="7"/>
  <c r="E9" i="7"/>
  <c r="E10" i="7" s="1"/>
  <c r="F9" i="7"/>
  <c r="F10" i="7" s="1"/>
  <c r="D9" i="7"/>
  <c r="D10" i="7" s="1"/>
  <c r="G10" i="7" s="1"/>
  <c r="E5" i="7"/>
  <c r="F5" i="7"/>
  <c r="F6" i="7" s="1"/>
  <c r="D5" i="7"/>
  <c r="D6" i="7" s="1"/>
  <c r="C7" i="7"/>
  <c r="D7" i="7"/>
  <c r="E7" i="7"/>
  <c r="F7" i="7"/>
  <c r="E20" i="6"/>
  <c r="E19" i="6" s="1"/>
  <c r="E18" i="6" s="1"/>
  <c r="F20" i="6"/>
  <c r="F19" i="6" s="1"/>
  <c r="F18" i="6" s="1"/>
  <c r="D20" i="6"/>
  <c r="D19" i="6" s="1"/>
  <c r="D23" i="6" s="1"/>
  <c r="E9" i="6"/>
  <c r="E8" i="6" s="1"/>
  <c r="F9" i="6"/>
  <c r="D9" i="6"/>
  <c r="G17" i="6"/>
  <c r="E17" i="6"/>
  <c r="F17" i="6"/>
  <c r="D17" i="6"/>
  <c r="F6" i="6"/>
  <c r="D6" i="6"/>
  <c r="G6" i="6"/>
  <c r="H10" i="7" l="1"/>
  <c r="E14" i="6"/>
  <c r="F8" i="6"/>
  <c r="E12" i="6"/>
  <c r="D18" i="6"/>
  <c r="G18" i="6" s="1"/>
  <c r="H18" i="6" s="1"/>
  <c r="E23" i="6"/>
  <c r="G22" i="5"/>
  <c r="H22" i="5"/>
  <c r="I22" i="5"/>
  <c r="J22" i="5"/>
  <c r="F22" i="5"/>
  <c r="C21" i="5"/>
  <c r="D21" i="5"/>
  <c r="E21" i="5"/>
  <c r="D19" i="5"/>
  <c r="E19" i="5"/>
  <c r="C19" i="5"/>
  <c r="F21" i="5" l="1"/>
  <c r="G21" i="5" s="1"/>
  <c r="F14" i="6"/>
  <c r="F7" i="6"/>
  <c r="G19" i="6"/>
  <c r="F12" i="6"/>
  <c r="I18" i="6"/>
  <c r="J18" i="6" s="1"/>
  <c r="K18" i="6" s="1"/>
  <c r="I10" i="7"/>
  <c r="F23" i="6"/>
  <c r="J23" i="6" s="1"/>
  <c r="K23" i="6" l="1"/>
  <c r="G23" i="6"/>
  <c r="G20" i="6" s="1"/>
  <c r="I23" i="6"/>
  <c r="H23" i="6"/>
  <c r="J10" i="7"/>
  <c r="H21" i="5"/>
  <c r="I21" i="5" s="1"/>
  <c r="G21" i="6" l="1"/>
  <c r="H17" i="6" s="1"/>
  <c r="H19" i="6" s="1"/>
  <c r="H20" i="6" s="1"/>
  <c r="G19" i="1"/>
  <c r="K10" i="7"/>
  <c r="H21" i="6" l="1"/>
  <c r="I17" i="6" s="1"/>
  <c r="I19" i="6" s="1"/>
  <c r="H19" i="1"/>
  <c r="J21" i="5"/>
  <c r="I20" i="6" l="1"/>
  <c r="I19" i="1" s="1"/>
  <c r="I21" i="6" l="1"/>
  <c r="J17" i="6" s="1"/>
  <c r="J19" i="6" s="1"/>
  <c r="J20" i="6" s="1"/>
  <c r="J19" i="1" s="1"/>
  <c r="J21" i="6" l="1"/>
  <c r="K17" i="6" s="1"/>
  <c r="K19" i="6" s="1"/>
  <c r="K20" i="6" s="1"/>
  <c r="K19" i="1" s="1"/>
  <c r="K21" i="6" l="1"/>
  <c r="D14" i="5"/>
  <c r="E14" i="5"/>
  <c r="C14" i="5"/>
  <c r="D8" i="5" l="1"/>
  <c r="D16" i="5" s="1"/>
  <c r="E8" i="5"/>
  <c r="E16" i="5" s="1"/>
  <c r="E17" i="5" s="1"/>
  <c r="C8" i="5"/>
  <c r="C16" i="5" s="1"/>
  <c r="E17" i="3"/>
  <c r="D17" i="5" l="1"/>
  <c r="E12" i="1" l="1"/>
  <c r="E19" i="3" l="1"/>
  <c r="J25" i="3" s="1"/>
  <c r="J31" i="3" s="1"/>
  <c r="D19" i="8" s="1"/>
  <c r="E13" i="8" l="1"/>
  <c r="F17" i="1"/>
  <c r="D17" i="1"/>
  <c r="E17" i="1"/>
  <c r="F12" i="1"/>
  <c r="L12" i="1" s="1"/>
  <c r="F13" i="1"/>
  <c r="E13" i="1"/>
  <c r="E14" i="1" s="1"/>
  <c r="E15" i="1" l="1"/>
  <c r="E22" i="1"/>
  <c r="E26" i="1" s="1"/>
  <c r="F13" i="8"/>
  <c r="H13" i="8"/>
  <c r="D13" i="8"/>
  <c r="G13" i="8"/>
  <c r="D24" i="8"/>
  <c r="D20" i="5"/>
  <c r="D22" i="5"/>
  <c r="E24" i="5"/>
  <c r="E22" i="5"/>
  <c r="E20" i="5"/>
  <c r="G12" i="1"/>
  <c r="F14" i="1"/>
  <c r="F22" i="1" s="1"/>
  <c r="C24" i="5"/>
  <c r="D24" i="5"/>
  <c r="D13" i="1"/>
  <c r="E23" i="1" l="1"/>
  <c r="E27" i="1"/>
  <c r="D23" i="5" s="1"/>
  <c r="G11" i="1"/>
  <c r="H12" i="1"/>
  <c r="I12" i="1" s="1"/>
  <c r="J12" i="1" s="1"/>
  <c r="F24" i="5"/>
  <c r="C22" i="5"/>
  <c r="C20" i="5"/>
  <c r="D14" i="1"/>
  <c r="F15" i="1"/>
  <c r="D22" i="1" l="1"/>
  <c r="D26" i="1" s="1"/>
  <c r="D27" i="1" s="1"/>
  <c r="D15" i="1"/>
  <c r="G15" i="1" s="1"/>
  <c r="G14" i="1" s="1"/>
  <c r="E29" i="1"/>
  <c r="F26" i="1"/>
  <c r="F23" i="1"/>
  <c r="G24" i="5"/>
  <c r="G8" i="6"/>
  <c r="F5" i="5"/>
  <c r="F7" i="5"/>
  <c r="H11" i="1"/>
  <c r="D23" i="1" l="1"/>
  <c r="G23" i="1" s="1"/>
  <c r="G22" i="1" s="1"/>
  <c r="H15" i="1"/>
  <c r="H14" i="1" s="1"/>
  <c r="F27" i="1"/>
  <c r="E23" i="5" s="1"/>
  <c r="H8" i="6"/>
  <c r="G5" i="5"/>
  <c r="G7" i="5"/>
  <c r="I11" i="1"/>
  <c r="H24" i="5"/>
  <c r="I24" i="5" s="1"/>
  <c r="F6" i="5"/>
  <c r="F8" i="5" s="1"/>
  <c r="F11" i="5"/>
  <c r="G7" i="6"/>
  <c r="D10" i="8" s="1"/>
  <c r="K23" i="1" l="1"/>
  <c r="I23" i="1"/>
  <c r="I22" i="1" s="1"/>
  <c r="H23" i="1"/>
  <c r="H22" i="1" s="1"/>
  <c r="J23" i="1"/>
  <c r="F29" i="1"/>
  <c r="I15" i="1"/>
  <c r="J15" i="1" s="1"/>
  <c r="K15" i="1" s="1"/>
  <c r="I8" i="6"/>
  <c r="H5" i="5"/>
  <c r="H7" i="5"/>
  <c r="J11" i="1"/>
  <c r="H13" i="1"/>
  <c r="J24" i="5"/>
  <c r="J22" i="1" l="1"/>
  <c r="I14" i="1"/>
  <c r="G11" i="5"/>
  <c r="G6" i="5"/>
  <c r="G8" i="5" s="1"/>
  <c r="J8" i="6"/>
  <c r="I5" i="5"/>
  <c r="I7" i="5"/>
  <c r="K11" i="1"/>
  <c r="K22" i="1" s="1"/>
  <c r="J14" i="1"/>
  <c r="I13" i="1"/>
  <c r="H11" i="5" l="1"/>
  <c r="H6" i="5"/>
  <c r="H8" i="5" s="1"/>
  <c r="J13" i="1"/>
  <c r="K8" i="6"/>
  <c r="J5" i="5"/>
  <c r="J7" i="5"/>
  <c r="K14" i="1"/>
  <c r="K13" i="1" s="1"/>
  <c r="J6" i="5" l="1"/>
  <c r="J8" i="5" s="1"/>
  <c r="J11" i="5"/>
  <c r="K25" i="1"/>
  <c r="I11" i="5"/>
  <c r="I6" i="5"/>
  <c r="I8" i="5" s="1"/>
  <c r="G7" i="7" l="1"/>
  <c r="H5" i="7" l="1"/>
  <c r="H7" i="7" s="1"/>
  <c r="G9" i="7"/>
  <c r="G24" i="1" s="1"/>
  <c r="I5" i="7" l="1"/>
  <c r="I7" i="7" s="1"/>
  <c r="H9" i="7"/>
  <c r="H24" i="1" s="1"/>
  <c r="E6" i="6"/>
  <c r="E7" i="6" s="1"/>
  <c r="D8" i="6"/>
  <c r="D12" i="6" s="1"/>
  <c r="D14" i="6"/>
  <c r="J5" i="7" l="1"/>
  <c r="J7" i="7" s="1"/>
  <c r="I9" i="7"/>
  <c r="I24" i="1" s="1"/>
  <c r="D7" i="6"/>
  <c r="K12" i="6"/>
  <c r="K9" i="6" s="1"/>
  <c r="G12" i="6"/>
  <c r="G9" i="6" s="1"/>
  <c r="H12" i="6"/>
  <c r="H9" i="6" s="1"/>
  <c r="I12" i="6"/>
  <c r="I9" i="6" s="1"/>
  <c r="J12" i="6"/>
  <c r="J9" i="6" s="1"/>
  <c r="K5" i="7" l="1"/>
  <c r="K7" i="7" s="1"/>
  <c r="K9" i="7" s="1"/>
  <c r="K24" i="1" s="1"/>
  <c r="J9" i="7"/>
  <c r="J24" i="1" s="1"/>
  <c r="J20" i="1"/>
  <c r="J18" i="1" s="1"/>
  <c r="G8" i="8" s="1"/>
  <c r="J10" i="6"/>
  <c r="K6" i="6" s="1"/>
  <c r="K7" i="6" s="1"/>
  <c r="H10" i="8" s="1"/>
  <c r="G10" i="6"/>
  <c r="H6" i="6" s="1"/>
  <c r="H7" i="6" s="1"/>
  <c r="E10" i="8" s="1"/>
  <c r="G20" i="1"/>
  <c r="G18" i="1" s="1"/>
  <c r="I20" i="1"/>
  <c r="I18" i="1" s="1"/>
  <c r="I10" i="6"/>
  <c r="J6" i="6" s="1"/>
  <c r="J7" i="6" s="1"/>
  <c r="G10" i="8" s="1"/>
  <c r="H10" i="6"/>
  <c r="I6" i="6" s="1"/>
  <c r="I7" i="6" s="1"/>
  <c r="F10" i="8" s="1"/>
  <c r="H20" i="1"/>
  <c r="H18" i="1" s="1"/>
  <c r="K20" i="1"/>
  <c r="K18" i="1" s="1"/>
  <c r="K10" i="6"/>
  <c r="F8" i="8" l="1"/>
  <c r="D8" i="8"/>
  <c r="E8" i="8"/>
  <c r="H8" i="8"/>
  <c r="D29" i="1" l="1"/>
  <c r="C23" i="5" l="1"/>
  <c r="F23" i="5" s="1"/>
  <c r="G23" i="5" l="1"/>
  <c r="H23" i="5" l="1"/>
  <c r="I23" i="5" l="1"/>
  <c r="J23" i="5" l="1"/>
  <c r="K26" i="1" l="1"/>
  <c r="K27" i="1" s="1"/>
  <c r="J26" i="1"/>
  <c r="J27" i="1" s="1"/>
  <c r="I12" i="5" s="1"/>
  <c r="I26" i="1"/>
  <c r="I27" i="1" s="1"/>
  <c r="I29" i="1" s="1"/>
  <c r="H26" i="1"/>
  <c r="H27" i="1" s="1"/>
  <c r="H5" i="8"/>
  <c r="H6" i="8" s="1"/>
  <c r="G5" i="8"/>
  <c r="F5" i="8"/>
  <c r="F6" i="8" s="1"/>
  <c r="E5" i="8"/>
  <c r="E6" i="8" s="1"/>
  <c r="K17" i="1"/>
  <c r="J13" i="5" s="1"/>
  <c r="J17" i="1"/>
  <c r="I17" i="1"/>
  <c r="H13" i="5" s="1"/>
  <c r="H17" i="1"/>
  <c r="H12" i="5" l="1"/>
  <c r="H14" i="5" s="1"/>
  <c r="H16" i="5" s="1"/>
  <c r="I13" i="5"/>
  <c r="I14" i="5" s="1"/>
  <c r="I16" i="5" s="1"/>
  <c r="G6" i="8"/>
  <c r="G7" i="8" s="1"/>
  <c r="H29" i="1"/>
  <c r="G12" i="5"/>
  <c r="F7" i="8"/>
  <c r="G13" i="5"/>
  <c r="E7" i="8"/>
  <c r="J12" i="5"/>
  <c r="J14" i="5" s="1"/>
  <c r="J16" i="5" s="1"/>
  <c r="K29" i="1"/>
  <c r="H7" i="8"/>
  <c r="J29" i="1"/>
  <c r="J17" i="5" l="1"/>
  <c r="H9" i="8" s="1"/>
  <c r="H11" i="8" s="1"/>
  <c r="H15" i="8" s="1"/>
  <c r="I17" i="5"/>
  <c r="G9" i="8" s="1"/>
  <c r="G11" i="8" s="1"/>
  <c r="G15" i="8" s="1"/>
  <c r="G14" i="5"/>
  <c r="G16" i="5" s="1"/>
  <c r="D23" i="8" l="1"/>
  <c r="D26" i="8" s="1"/>
  <c r="D30" i="8" s="1"/>
  <c r="H17" i="5"/>
  <c r="F9" i="8" s="1"/>
  <c r="F11" i="8" s="1"/>
  <c r="F15" i="8" s="1"/>
  <c r="G26" i="1"/>
  <c r="G27" i="1" s="1"/>
  <c r="D5" i="8"/>
  <c r="D6" i="8" s="1"/>
  <c r="G17" i="1"/>
  <c r="F13" i="5" s="1"/>
  <c r="G29" i="1" l="1"/>
  <c r="F12" i="5"/>
  <c r="F14" i="5" s="1"/>
  <c r="F16" i="5" s="1"/>
  <c r="D7" i="8"/>
  <c r="G17" i="5" l="1"/>
  <c r="E9" i="8" s="1"/>
  <c r="E11" i="8" s="1"/>
  <c r="E15" i="8" s="1"/>
  <c r="F17" i="5"/>
  <c r="D9" i="8" s="1"/>
  <c r="D11" i="8" s="1"/>
  <c r="D15" i="8" s="1"/>
  <c r="J15" i="8" l="1"/>
  <c r="D29" i="8"/>
  <c r="D32" i="8" s="1"/>
  <c r="D34" i="8" s="1"/>
  <c r="D37" i="8" s="1"/>
  <c r="D39" i="8" s="1"/>
  <c r="F22" i="8" s="1"/>
  <c r="D21" i="8" l="1"/>
</calcChain>
</file>

<file path=xl/sharedStrings.xml><?xml version="1.0" encoding="utf-8"?>
<sst xmlns="http://schemas.openxmlformats.org/spreadsheetml/2006/main" count="427" uniqueCount="370">
  <si>
    <t xml:space="preserve">Histrocial </t>
  </si>
  <si>
    <t>Forcasted</t>
  </si>
  <si>
    <t>Sales</t>
  </si>
  <si>
    <t>Growth rate %</t>
  </si>
  <si>
    <t>Cost of Sales</t>
  </si>
  <si>
    <t xml:space="preserve">Gross Profit </t>
  </si>
  <si>
    <t xml:space="preserve">   Gp Margin %</t>
  </si>
  <si>
    <t xml:space="preserve">Depreciation and Amortization </t>
  </si>
  <si>
    <t xml:space="preserve">Amortitization </t>
  </si>
  <si>
    <t xml:space="preserve">Depriceation </t>
  </si>
  <si>
    <t>Operating  Profit(EBIT)</t>
  </si>
  <si>
    <t>Operating  Profit(EBIT) Margin %</t>
  </si>
  <si>
    <t xml:space="preserve">Intrerest Expenses </t>
  </si>
  <si>
    <t>Tax  Rate</t>
  </si>
  <si>
    <t>PBT</t>
  </si>
  <si>
    <t>Tax expenses</t>
  </si>
  <si>
    <t>IV Expenses:</t>
  </si>
  <si>
    <t>51,806.05 54,196.66</t>
  </si>
  <si>
    <t>VIII Tax expense:</t>
  </si>
  <si>
    <t>Basic (₹) 117.04 57.11</t>
  </si>
  <si>
    <t>Diluted (₹) 117.03 57.11</t>
  </si>
  <si>
    <t>I Revenue from operations</t>
  </si>
  <si>
    <t>26 305</t>
  </si>
  <si>
    <t>64,869.00 60,435.97</t>
  </si>
  <si>
    <t>II Other income 27 306 637</t>
  </si>
  <si>
    <t>.89 404</t>
  </si>
  <si>
    <t>III Total income 65,506.89</t>
  </si>
  <si>
    <t>umed 13</t>
  </si>
  <si>
    <t>,868.60 17,407.03</t>
  </si>
  <si>
    <t>(b) Purchases of stock-in-</t>
  </si>
  <si>
    <t>trade 1</t>
  </si>
  <si>
    <t>,146.05 1,563.10</t>
  </si>
  <si>
    <t>(c) Changes in inventories</t>
  </si>
  <si>
    <t>of fin</t>
  </si>
  <si>
    <t>ished and semi-finished goods, stock-in-trad</t>
  </si>
  <si>
    <t>e and</t>
  </si>
  <si>
    <t>work-in-progress 28 307 1,464.12 (564.40)</t>
  </si>
  <si>
    <t>(d) Employee benefits expe</t>
  </si>
  <si>
    <t>nse 29</t>
  </si>
  <si>
    <t>307 5,198.82 5,036.62</t>
  </si>
  <si>
    <t>(f ) Depreciation and amor</t>
  </si>
  <si>
    <t>tisatio</t>
  </si>
  <si>
    <t>n expense 31 308 3,987.32 3,920.12</t>
  </si>
  <si>
    <t>(g) Other expenses 32 308</t>
  </si>
  <si>
    <t>30 23,803.18</t>
  </si>
  <si>
    <t>Less: Expenditure (other t</t>
  </si>
  <si>
    <t>han int</t>
  </si>
  <si>
    <t>erest) transferred to capital and other acco</t>
  </si>
  <si>
    <t>unts</t>
  </si>
  <si>
    <t>1,321.24 1,671.13</t>
  </si>
  <si>
    <t>Total expenses 50,484.81 5</t>
  </si>
  <si>
    <t>V Profit before exceptiona</t>
  </si>
  <si>
    <t>l items</t>
  </si>
  <si>
    <t>and tax (III-IV) 15,022.08 8,314.56</t>
  </si>
  <si>
    <t>VI Exceptional items: 33 3</t>
  </si>
  <si>
    <t>(a) Profit/(loss) on sale</t>
  </si>
  <si>
    <t>of non-</t>
  </si>
  <si>
    <t>current investments 1,084.85 -</t>
  </si>
  <si>
    <t>(b) Provision for impairme</t>
  </si>
  <si>
    <t>nt of i</t>
  </si>
  <si>
    <t>nvestments/doubtful advances 149.74 (1,149.8</t>
  </si>
  <si>
    <t>0)</t>
  </si>
  <si>
    <t>(c) Provision for demands</t>
  </si>
  <si>
    <t>and cla</t>
  </si>
  <si>
    <t>ims - (196.41)</t>
  </si>
  <si>
    <t>(d) Employee separation co</t>
  </si>
  <si>
    <t>mpensat</t>
  </si>
  <si>
    <t>ion (443.55) (107.37)</t>
  </si>
  <si>
    <t>(e) Gain/(loss) on non-cur</t>
  </si>
  <si>
    <t>rent in</t>
  </si>
  <si>
    <t>vestments classified as fair value through p</t>
  </si>
  <si>
    <t>rofit</t>
  </si>
  <si>
    <t>and loss (net) 1,982.01 (250.00)</t>
  </si>
  <si>
    <t>Total exceptional items 2,</t>
  </si>
  <si>
    <t>VII Profit before tax (V+V</t>
  </si>
  <si>
    <t>I) 17,7</t>
  </si>
  <si>
    <t>95.13 6,610.98</t>
  </si>
  <si>
    <t>(a) Current tax 3,949.05 1</t>
  </si>
  <si>
    <t>,787.95</t>
  </si>
  <si>
    <t>(b) Deferred tax 239.46 (1</t>
  </si>
  <si>
    <t>,920.77</t>
  </si>
  <si>
    <t>)</t>
  </si>
  <si>
    <t>Total tax expense 4,188.51</t>
  </si>
  <si>
    <t>(132.8</t>
  </si>
  <si>
    <t>2)</t>
  </si>
  <si>
    <t>IX Profit for the year (VI</t>
  </si>
  <si>
    <t>I-VIII)</t>
  </si>
  <si>
    <t>13,606.62 6,743.80</t>
  </si>
  <si>
    <t>X Other comprehensive inco</t>
  </si>
  <si>
    <t>me/(los</t>
  </si>
  <si>
    <t>s)</t>
  </si>
  <si>
    <t>A (i) Items that will not</t>
  </si>
  <si>
    <t>be recl</t>
  </si>
  <si>
    <t>assified subsequently to profit and loss</t>
  </si>
  <si>
    <t>(a) Remeasurement gain/(lo</t>
  </si>
  <si>
    <t>ss) on</t>
  </si>
  <si>
    <t>post-employment defined benefit plans 81.97</t>
  </si>
  <si>
    <t>(461.</t>
  </si>
  <si>
    <t>27)</t>
  </si>
  <si>
    <t>(b) Fair value changes of</t>
  </si>
  <si>
    <t>investm</t>
  </si>
  <si>
    <t>ents in equity shares 333.55 (244.30)</t>
  </si>
  <si>
    <t>(ii) Income tax on items t</t>
  </si>
  <si>
    <t>hat wil</t>
  </si>
  <si>
    <t>l not be reclassified subsequently to profit</t>
  </si>
  <si>
    <t>and</t>
  </si>
  <si>
    <t>loss (27.40) 116.65</t>
  </si>
  <si>
    <t>B (i) Items that will be r</t>
  </si>
  <si>
    <t>eclassi</t>
  </si>
  <si>
    <t>fied subsequently to profit and loss</t>
  </si>
  <si>
    <t>(a) Fair value changes of</t>
  </si>
  <si>
    <t>cash fl</t>
  </si>
  <si>
    <t>ow hedges 27.56 (79.76)</t>
  </si>
  <si>
    <t>l be reclassified subsequently to profit and</t>
  </si>
  <si>
    <t>loss</t>
  </si>
  <si>
    <t>(6.94) 19.81</t>
  </si>
  <si>
    <t>Total other comprehensive</t>
  </si>
  <si>
    <t>income/</t>
  </si>
  <si>
    <t>(loss) for the year 408.74 (648.87)</t>
  </si>
  <si>
    <t>XI Total comprehensive inc</t>
  </si>
  <si>
    <t>ome/(lo</t>
  </si>
  <si>
    <t>ss) for the year (IX+X) 14,015.36 6,094.93</t>
  </si>
  <si>
    <t>XII Earnings per share 34</t>
  </si>
  <si>
    <t>XIII Notes forming part of</t>
  </si>
  <si>
    <t>the fi</t>
  </si>
  <si>
    <t>nancial statements 1 - 46</t>
  </si>
  <si>
    <t xml:space="preserve">Operating Expenses </t>
  </si>
  <si>
    <t>PAT</t>
  </si>
  <si>
    <t xml:space="preserve">Cost of Equity </t>
  </si>
  <si>
    <t>Risk Free Rate</t>
  </si>
  <si>
    <t xml:space="preserve">Equity Risk Premium </t>
  </si>
  <si>
    <t xml:space="preserve">Leverd beta </t>
  </si>
  <si>
    <t>Total Debt</t>
  </si>
  <si>
    <t>Total Equity</t>
  </si>
  <si>
    <t>Cost of Equity</t>
  </si>
  <si>
    <t>Cost of Debt</t>
  </si>
  <si>
    <t>Pre-tax Cost of Debt</t>
  </si>
  <si>
    <t>Tax Rate</t>
  </si>
  <si>
    <t>After Tax Cost of Debt</t>
  </si>
  <si>
    <t>WACC</t>
  </si>
  <si>
    <t xml:space="preserve">Current Assests </t>
  </si>
  <si>
    <t xml:space="preserve">Debtors </t>
  </si>
  <si>
    <t>Inventory</t>
  </si>
  <si>
    <t xml:space="preserve">Total Current Assets </t>
  </si>
  <si>
    <t xml:space="preserve">Current Libilities  </t>
  </si>
  <si>
    <t>Creditiors</t>
  </si>
  <si>
    <t xml:space="preserve">Accured  Income Tax payable </t>
  </si>
  <si>
    <t xml:space="preserve">other accruals </t>
  </si>
  <si>
    <t xml:space="preserve">Total Current Libilities </t>
  </si>
  <si>
    <t xml:space="preserve">Net Working Capital </t>
  </si>
  <si>
    <t>Change in W.C</t>
  </si>
  <si>
    <t xml:space="preserve">Debtor Days </t>
  </si>
  <si>
    <t>Inventory Days</t>
  </si>
  <si>
    <t xml:space="preserve">Other Current Assests % of Revenue </t>
  </si>
  <si>
    <t xml:space="preserve">Creditors Days </t>
  </si>
  <si>
    <t xml:space="preserve">Accured  Income Tax payable(% of Income Tax) </t>
  </si>
  <si>
    <t xml:space="preserve">other accruals  % of operating Expense </t>
  </si>
  <si>
    <t xml:space="preserve">Working Capital  Schedule </t>
  </si>
  <si>
    <t xml:space="preserve">Fixed Assets Schdule </t>
  </si>
  <si>
    <t xml:space="preserve">Opening balance </t>
  </si>
  <si>
    <t xml:space="preserve">add: Net purcahse </t>
  </si>
  <si>
    <t xml:space="preserve">Total Fixed Assets </t>
  </si>
  <si>
    <t>Less: Dep.</t>
  </si>
  <si>
    <t xml:space="preserve"> Fixed Assets Closing Balance </t>
  </si>
  <si>
    <t xml:space="preserve">Rate of Deprication </t>
  </si>
  <si>
    <t>Fixed Assets Turnover Ratio</t>
  </si>
  <si>
    <t xml:space="preserve">Other Intangible Assets Schdule </t>
  </si>
  <si>
    <t xml:space="preserve">Opening Balance </t>
  </si>
  <si>
    <t>Add: Net Purchase</t>
  </si>
  <si>
    <t>Total  Intangible Assets</t>
  </si>
  <si>
    <t xml:space="preserve">Less: Amortization </t>
  </si>
  <si>
    <t xml:space="preserve">Other  Int. Assets Closing Balance </t>
  </si>
  <si>
    <t xml:space="preserve">Rate of Amortization </t>
  </si>
  <si>
    <t>Debt schdule</t>
  </si>
  <si>
    <t>Add/Less: Debt Taken/Debt Repaid</t>
  </si>
  <si>
    <t>Closing balance</t>
  </si>
  <si>
    <t xml:space="preserve">Interest Expense </t>
  </si>
  <si>
    <t>Interest Rate (preTax )</t>
  </si>
  <si>
    <t>Mar-20'A'</t>
  </si>
  <si>
    <t>EBIT</t>
  </si>
  <si>
    <t>Less : Tax</t>
  </si>
  <si>
    <t>NOPAT</t>
  </si>
  <si>
    <t>Add/Less: Deprecition &amp; Amortization</t>
  </si>
  <si>
    <t>Add/Less: Working capital Changes</t>
  </si>
  <si>
    <t>Less : Captial Expenditure</t>
  </si>
  <si>
    <t>FCFF</t>
  </si>
  <si>
    <t>Discount Factor</t>
  </si>
  <si>
    <t xml:space="preserve">Present Value of Expilcit Period </t>
  </si>
  <si>
    <t>FCFF For TATA STEEL</t>
  </si>
  <si>
    <t>Expected Growth</t>
  </si>
  <si>
    <t>Terminal Growth</t>
  </si>
  <si>
    <t xml:space="preserve">Mid-Year </t>
  </si>
  <si>
    <t>Pv value of FCFF</t>
  </si>
  <si>
    <t>Enterprises Value (Terminal Value )</t>
  </si>
  <si>
    <t xml:space="preserve">Total PV of operations </t>
  </si>
  <si>
    <t>Add: Non Operating Assets in cash</t>
  </si>
  <si>
    <t>Value of Firm</t>
  </si>
  <si>
    <t xml:space="preserve">Less : Debt </t>
  </si>
  <si>
    <t xml:space="preserve">Less : Non - Controlling  Interest  </t>
  </si>
  <si>
    <t>Value of Equity</t>
  </si>
  <si>
    <t xml:space="preserve">share of outstanding </t>
  </si>
  <si>
    <t>Value per share</t>
  </si>
  <si>
    <t>FCFF(N+1)</t>
  </si>
  <si>
    <r>
      <t xml:space="preserve">Present Value </t>
    </r>
    <r>
      <rPr>
        <b/>
        <i/>
        <sz val="11"/>
        <color theme="1"/>
        <rFont val="Calibri"/>
        <family val="2"/>
      </rPr>
      <t>FCFF</t>
    </r>
  </si>
  <si>
    <t>Calculation of Enterprise Value</t>
  </si>
  <si>
    <t xml:space="preserve">PV Terminal </t>
  </si>
  <si>
    <t>=</t>
  </si>
  <si>
    <t>(e) Finance costs</t>
  </si>
  <si>
    <t xml:space="preserve"> 30 308 3,393.84</t>
  </si>
  <si>
    <t xml:space="preserve">(a) Cost of materials cons </t>
  </si>
  <si>
    <t>-</t>
  </si>
  <si>
    <t xml:space="preserve">Other Current Assets </t>
  </si>
  <si>
    <t xml:space="preserve">     -</t>
  </si>
  <si>
    <t>Return on Markets</t>
  </si>
  <si>
    <t>Year</t>
  </si>
  <si>
    <t>Annual</t>
  </si>
  <si>
    <t>Average Return</t>
  </si>
  <si>
    <t>Dividend Yield</t>
  </si>
  <si>
    <t>Total Market Returns</t>
  </si>
  <si>
    <r>
      <t xml:space="preserve">1.39% </t>
    </r>
    <r>
      <rPr>
        <vertAlign val="superscript"/>
        <sz val="11"/>
        <color theme="1"/>
        <rFont val="Calibri"/>
        <family val="2"/>
      </rPr>
      <t>1</t>
    </r>
  </si>
  <si>
    <t>Debt/</t>
  </si>
  <si>
    <t>Levered</t>
  </si>
  <si>
    <t>Unlevered</t>
  </si>
  <si>
    <t>Name</t>
  </si>
  <si>
    <t>Country</t>
  </si>
  <si>
    <t>Equity</t>
  </si>
  <si>
    <t>Capital</t>
  </si>
  <si>
    <t xml:space="preserve">Tata Steel </t>
  </si>
  <si>
    <t xml:space="preserve">India </t>
  </si>
  <si>
    <t>JSW Steel</t>
  </si>
  <si>
    <t>SAIL</t>
  </si>
  <si>
    <t xml:space="preserve">Jindal Steel </t>
  </si>
  <si>
    <t>Average</t>
  </si>
  <si>
    <t>Median</t>
  </si>
  <si>
    <t xml:space="preserve">Levered Beta </t>
  </si>
  <si>
    <t>Comps Median Unlevered Beta</t>
  </si>
  <si>
    <t xml:space="preserve">Target Debt/ Equity  </t>
  </si>
  <si>
    <t>Levered Beta</t>
  </si>
  <si>
    <t>Capital Structure</t>
  </si>
  <si>
    <t>Current</t>
  </si>
  <si>
    <t>Target</t>
  </si>
  <si>
    <t>Market Capitalization</t>
  </si>
  <si>
    <t>Total Capitalization</t>
  </si>
  <si>
    <t>Debt / Equity</t>
  </si>
  <si>
    <t>Weighted Average Cost of Capital</t>
  </si>
  <si>
    <t>Equity Weight</t>
  </si>
  <si>
    <t>Debt Weight</t>
  </si>
  <si>
    <t xml:space="preserve">Market Return </t>
  </si>
  <si>
    <t>TATA STEEL LTD</t>
  </si>
  <si>
    <r>
      <t xml:space="preserve">Tax Rate </t>
    </r>
    <r>
      <rPr>
        <b/>
        <vertAlign val="superscript"/>
        <sz val="11"/>
        <color theme="1"/>
        <rFont val="Calibri"/>
        <family val="2"/>
      </rPr>
      <t>1</t>
    </r>
  </si>
  <si>
    <r>
      <t xml:space="preserve">Beta </t>
    </r>
    <r>
      <rPr>
        <b/>
        <vertAlign val="superscript"/>
        <sz val="11"/>
        <color theme="1"/>
        <rFont val="Calibri"/>
        <family val="2"/>
      </rPr>
      <t>2</t>
    </r>
  </si>
  <si>
    <r>
      <t xml:space="preserve">Beta </t>
    </r>
    <r>
      <rPr>
        <b/>
        <vertAlign val="superscript"/>
        <sz val="11"/>
        <color theme="1"/>
        <rFont val="Calibri"/>
        <family val="2"/>
      </rPr>
      <t>3</t>
    </r>
  </si>
  <si>
    <t>Sensitivity Analysis</t>
  </si>
  <si>
    <t>Market Data</t>
  </si>
  <si>
    <t>Financials</t>
  </si>
  <si>
    <t>Valuation</t>
  </si>
  <si>
    <t>Company</t>
  </si>
  <si>
    <t>Share Price</t>
  </si>
  <si>
    <t>Shares Outstanding</t>
  </si>
  <si>
    <t>Equity Value</t>
  </si>
  <si>
    <t>Net Debt</t>
  </si>
  <si>
    <t>Enterprise Value</t>
  </si>
  <si>
    <t>Revenue</t>
  </si>
  <si>
    <t>EBITDA</t>
  </si>
  <si>
    <t>Net Income</t>
  </si>
  <si>
    <t>EV/Revenue</t>
  </si>
  <si>
    <t>EV/EBITDA</t>
  </si>
  <si>
    <t>P/E</t>
  </si>
  <si>
    <t>Amount in crores</t>
  </si>
  <si>
    <t>Figure in crores</t>
  </si>
  <si>
    <t>S.No.</t>
  </si>
  <si>
    <t>Tata Steel</t>
  </si>
  <si>
    <t>Tube Investments</t>
  </si>
  <si>
    <t>Jindal Stain.</t>
  </si>
  <si>
    <t>S A I L</t>
  </si>
  <si>
    <t>APL Apollo Tubes</t>
  </si>
  <si>
    <t>Shyam Metalics</t>
  </si>
  <si>
    <t>CMP Rs.</t>
  </si>
  <si>
    <t>Debt Rs.Cr.</t>
  </si>
  <si>
    <t>No. Eq. Shares Cr.</t>
  </si>
  <si>
    <t>Cash End Rs.Cr.</t>
  </si>
  <si>
    <t>Sales Rs.Cr.</t>
  </si>
  <si>
    <t>EBIDT Prev Ann Rs.Cr.</t>
  </si>
  <si>
    <t>NP 12M Rs.Cr.</t>
  </si>
  <si>
    <t>Market Cap</t>
  </si>
  <si>
    <t>EV</t>
  </si>
  <si>
    <t xml:space="preserve">EBITDA </t>
  </si>
  <si>
    <t> 6,822 </t>
  </si>
  <si>
    <t> 1,587 </t>
  </si>
  <si>
    <t>High</t>
  </si>
  <si>
    <t>75th Percentile</t>
  </si>
  <si>
    <t>25th Percentile</t>
  </si>
  <si>
    <t>Low</t>
  </si>
  <si>
    <t>Implied Enterprise Value</t>
  </si>
  <si>
    <t>Implied Market Value</t>
  </si>
  <si>
    <t>Implied Value per Share</t>
  </si>
  <si>
    <t>TATA  STEEL  Comparable Valuation</t>
  </si>
  <si>
    <t xml:space="preserve">TATA STEEL Comparable Analysis </t>
  </si>
  <si>
    <t>About the company</t>
  </si>
  <si>
    <t>Financial Summary</t>
  </si>
  <si>
    <t>Return on Equity (ROE)</t>
  </si>
  <si>
    <t>Net Profit</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</si>
  <si>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</si>
  <si>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</si>
  <si>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</si>
  <si>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</si>
  <si>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</si>
  <si>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</si>
  <si>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</si>
  <si>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</si>
  <si>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</si>
  <si>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</si>
  <si>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</si>
  <si>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 xml:space="preserve">TATA STEEL LTD </t>
  </si>
  <si>
    <t xml:space="preserve">Income Statement </t>
  </si>
  <si>
    <t>COMPANY NAME</t>
  </si>
  <si>
    <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</si>
  <si>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</si>
  <si>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</si>
  <si>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</si>
  <si>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</si>
  <si>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</si>
  <si>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</si>
  <si>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</si>
  <si>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</si>
  <si>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</si>
  <si>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</si>
  <si>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</si>
  <si>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</si>
  <si>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</si>
  <si>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</si>
  <si>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</si>
  <si>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</si>
  <si>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</si>
  <si>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</si>
  <si>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</si>
  <si>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</si>
  <si>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</si>
  <si>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</si>
  <si>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</si>
  <si>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</si>
  <si>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</si>
  <si>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</si>
  <si>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</si>
  <si>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</si>
  <si>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</si>
  <si>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</si>
  <si>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</si>
  <si>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</si>
  <si>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</si>
  <si>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</si>
  <si>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</si>
  <si>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</si>
  <si>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</si>
  <si>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</si>
  <si>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</si>
  <si>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</si>
  <si>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</si>
  <si>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</si>
  <si>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</si>
  <si>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</si>
  <si>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</si>
  <si>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</si>
  <si>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</si>
  <si>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</si>
  <si>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</si>
  <si>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Tata Steel Ltd is Asia's first integrated private steel company setup in 1907.
The company has presence across the entire value chain of steel manufacturing from mining and processing iron ore and coal to producing and distributing finished products.
The company has a target to increase domestic steelmaking capacity to 30 MnTPA by 2025.</t>
  </si>
  <si>
    <t>INR  141.53</t>
  </si>
  <si>
    <t xml:space="preserve"> ( TATA STEEL LTD | BSE Code : 500470</t>
  </si>
  <si>
    <t xml:space="preserve"> 52 Week (High - INR 185 &amp; Low - 123)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</si>
</sst>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 #,##0.00_ ;_ * \-#,##0.00_ ;_ * &quot;-&quot;??_ ;_ @_ "/>
    <numFmt numFmtId="164" formatCode="mmm/yy\'\A\'"/>
    <numFmt numFmtId="165" formatCode="mmm/yy\'\F\'"/>
    <numFmt numFmtId="166" formatCode="#,##0.0"/>
    <numFmt numFmtId="167" formatCode="0.0"/>
    <numFmt numFmtId="168" formatCode="_ * #,##0.0_ ;_ * \-#,##0.0_ ;_ * &quot;-&quot;??_ ;_ @_ "/>
    <numFmt numFmtId="169" formatCode="0.0\x"/>
    <numFmt numFmtId="170" formatCode="0.00\x"/>
    <numFmt numFmtId="171" formatCode="[$-409]mmm\-yy;@"/>
  </numFmts>
  <fonts count="43" x14ac:knownFonts="1">
    <font>
      <sz val="11"/>
      <color theme="1"/>
      <name val="Calibri"/>
      <family val="2"/>
    </font>
    <font>
      <b/>
      <sz val="11"/>
      <color theme="1"/>
      <name val="Calibri"/>
      <family val="2"/>
    </font>
    <font>
      <sz val="11"/>
      <color theme="4"/>
      <name val="Calibri"/>
      <family val="2"/>
    </font>
    <font>
      <b/>
      <sz val="12"/>
      <color theme="0"/>
      <name val="Calibri"/>
      <family val="2"/>
    </font>
    <font>
      <i/>
      <sz val="10"/>
      <color theme="1"/>
      <name val="Calibri"/>
      <family val="2"/>
    </font>
    <font>
      <b/>
      <i/>
      <u/>
      <sz val="11"/>
      <color theme="1"/>
      <name val="Calibri"/>
      <family val="2"/>
    </font>
    <font>
      <i/>
      <sz val="11"/>
      <color theme="1"/>
      <name val="Calibri"/>
      <family val="2"/>
    </font>
    <font>
      <b/>
      <sz val="11"/>
      <color theme="4"/>
      <name val="Calibri"/>
      <family val="2"/>
    </font>
    <font>
      <sz val="11"/>
      <color theme="1"/>
      <name val="Calibri"/>
      <family val="2"/>
    </font>
    <font>
      <b/>
      <sz val="11"/>
      <color theme="0"/>
      <name val="Calibri"/>
      <family val="2"/>
    </font>
    <font>
      <i/>
      <u/>
      <sz val="11"/>
      <color theme="1"/>
      <name val="Calibri"/>
      <family val="2"/>
    </font>
    <font>
      <sz val="11"/>
      <color theme="4" tint="-0.499984740745262"/>
      <name val="Calibri"/>
      <family val="2"/>
    </font>
    <font>
      <sz val="11"/>
      <name val="Calibri"/>
      <family val="2"/>
    </font>
    <font>
      <b/>
      <i/>
      <sz val="11"/>
      <name val="Calibri"/>
      <family val="2"/>
    </font>
    <font>
      <b/>
      <u/>
      <sz val="11"/>
      <color theme="1"/>
      <name val="Calibri"/>
      <family val="2"/>
    </font>
    <font>
      <i/>
      <sz val="11"/>
      <color theme="4"/>
      <name val="Calibri"/>
      <family val="2"/>
    </font>
    <font>
      <b/>
      <i/>
      <sz val="11"/>
      <color theme="1"/>
      <name val="Calibri"/>
      <family val="2"/>
    </font>
    <font>
      <b/>
      <sz val="11"/>
      <color theme="2"/>
      <name val="Calibri"/>
      <family val="2"/>
    </font>
    <font>
      <sz val="11"/>
      <color rgb="FF040C28"/>
      <name val="Calibri"/>
      <family val="2"/>
      <scheme val="minor"/>
    </font>
    <font>
      <sz val="11"/>
      <color theme="0"/>
      <name val="Calibri"/>
      <family val="2"/>
    </font>
    <font>
      <sz val="10"/>
      <color theme="1"/>
      <name val="Calibri"/>
      <family val="2"/>
    </font>
    <font>
      <vertAlign val="superscript"/>
      <sz val="11"/>
      <color theme="1"/>
      <name val="Calibri"/>
      <family val="2"/>
    </font>
    <font>
      <u/>
      <sz val="11"/>
      <color theme="10"/>
      <name val="calibri"/>
      <family val="2"/>
    </font>
    <font>
      <sz val="11"/>
      <color theme="1"/>
      <name val="Calibri"/>
      <family val="2"/>
      <scheme val="minor"/>
    </font>
    <font>
      <sz val="11"/>
      <color theme="0"/>
      <name val="Calibri"/>
      <family val="2"/>
      <scheme val="minor"/>
    </font>
    <font>
      <sz val="11"/>
      <color theme="1"/>
      <name val="Arial Narrow"/>
      <family val="2"/>
    </font>
    <font>
      <sz val="11"/>
      <color rgb="FF0070C0"/>
      <name val="Calibri"/>
      <family val="2"/>
    </font>
    <font>
      <sz val="11"/>
      <color theme="10"/>
      <name val="calibri"/>
      <family val="2"/>
    </font>
    <font>
      <sz val="11"/>
      <color rgb="FF3333FF"/>
      <name val="calibri"/>
      <family val="2"/>
    </font>
    <font>
      <b/>
      <sz val="14"/>
      <color theme="1"/>
      <name val="calibri"/>
      <family val="2"/>
    </font>
    <font>
      <b/>
      <sz val="12"/>
      <color theme="1"/>
      <name val="Calibri"/>
      <family val="2"/>
    </font>
    <font>
      <b/>
      <sz val="16"/>
      <color rgb="FF0070C0"/>
      <name val="Calibri"/>
      <family val="2"/>
    </font>
    <font>
      <b/>
      <vertAlign val="superscript"/>
      <sz val="11"/>
      <color theme="1"/>
      <name val="Calibri"/>
      <family val="2"/>
    </font>
    <font>
      <b/>
      <sz val="14"/>
      <color theme="0"/>
      <name val="calibri"/>
      <family val="2"/>
    </font>
    <font>
      <b/>
      <i/>
      <sz val="11"/>
      <color theme="0"/>
      <name val="Calibri"/>
      <family val="2"/>
      <scheme val="minor"/>
    </font>
    <font>
      <i/>
      <sz val="9"/>
      <color theme="1"/>
      <name val="Calibri"/>
      <family val="2"/>
    </font>
    <font>
      <b/>
      <u/>
      <sz val="11"/>
      <color theme="0"/>
      <name val="Calibri"/>
      <family val="2"/>
    </font>
    <font>
      <b/>
      <u/>
      <sz val="14"/>
      <color theme="0"/>
      <name val="Calibri"/>
      <family val="2"/>
    </font>
    <font>
      <sz val="12"/>
      <color theme="1"/>
      <name val="calibri"/>
      <family val="2"/>
    </font>
    <font>
      <b/>
      <sz val="14"/>
      <color theme="4"/>
      <name val="calibri"/>
      <family val="2"/>
    </font>
    <font>
      <b/>
      <sz val="26"/>
      <color theme="4"/>
      <name val="calibri"/>
      <family val="2"/>
    </font>
    <font>
      <b/>
      <sz val="11"/>
      <color theme="1"/>
      <name val="Calibri"/>
      <family val="2"/>
      <scheme val="minor"/>
    </font>
    <font>
      <b/>
      <sz val="11"/>
      <color theme="0"/>
      <name val="Calibri"/>
      <family val="2"/>
      <scheme val="minor"/>
    </font>
  </fonts>
  <fills count="1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0.14999847407452621"/>
        <bgColor indexed="64"/>
      </patternFill>
    </fill>
    <fill>
      <patternFill patternType="solid">
        <fgColor rgb="FF002060"/>
        <bgColor indexed="64"/>
      </patternFill>
    </fill>
    <fill>
      <patternFill patternType="solid">
        <fgColor theme="9"/>
      </patternFill>
    </fill>
    <fill>
      <patternFill patternType="solid">
        <fgColor theme="0" tint="-4.9989318521683403E-2"/>
        <bgColor indexed="64"/>
      </patternFill>
    </fill>
    <fill>
      <patternFill patternType="solid">
        <fgColor rgb="FFFFFFFF"/>
        <bgColor indexed="64"/>
      </patternFill>
    </fill>
    <fill>
      <patternFill patternType="solid">
        <fgColor theme="4"/>
        <bgColor indexed="64"/>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4"/>
      </patternFill>
    </fill>
    <fill>
      <patternFill patternType="solid">
        <fgColor rgb="FF0275D8"/>
        <bgColor indexed="64"/>
      </patternFill>
    </fill>
  </fills>
  <borders count="19">
    <border>
      <left/>
      <right/>
      <top/>
      <bottom/>
      <diagonal/>
    </border>
    <border>
      <left/>
      <right/>
      <top style="thin">
        <color auto="1"/>
      </top>
      <bottom style="double">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bottom style="medium">
        <color auto="1"/>
      </bottom>
      <diagonal/>
    </border>
    <border>
      <left/>
      <right/>
      <top style="medium">
        <color auto="1"/>
      </top>
      <bottom/>
      <diagonal/>
    </border>
    <border>
      <left/>
      <right/>
      <top style="double">
        <color auto="1"/>
      </top>
      <bottom/>
      <diagonal/>
    </border>
    <border>
      <left/>
      <right/>
      <top style="dotted">
        <color theme="4"/>
      </top>
      <bottom style="dotted">
        <color theme="4"/>
      </bottom>
      <diagonal/>
    </border>
    <border>
      <left/>
      <right/>
      <top style="medium">
        <color theme="1"/>
      </top>
      <bottom style="double">
        <color theme="1"/>
      </bottom>
      <diagonal/>
    </border>
    <border>
      <left/>
      <right/>
      <top style="dotted">
        <color theme="4"/>
      </top>
      <bottom/>
      <diagonal/>
    </border>
    <border>
      <left/>
      <right/>
      <top/>
      <bottom style="dotted">
        <color theme="4"/>
      </bottom>
      <diagonal/>
    </border>
    <border>
      <left/>
      <right/>
      <top style="hair">
        <color auto="1"/>
      </top>
      <bottom/>
      <diagonal/>
    </border>
    <border>
      <left/>
      <right/>
      <top/>
      <bottom style="thin">
        <color theme="0"/>
      </bottom>
      <diagonal/>
    </border>
    <border>
      <left/>
      <right/>
      <top style="hair">
        <color rgb="FF002060"/>
      </top>
      <bottom style="hair">
        <color rgb="FF002060"/>
      </bottom>
      <diagonal/>
    </border>
    <border>
      <left/>
      <right/>
      <top/>
      <bottom style="thin">
        <color rgb="FF002060"/>
      </bottom>
      <diagonal/>
    </border>
    <border>
      <left/>
      <right/>
      <top style="thin">
        <color rgb="FF002060"/>
      </top>
      <bottom style="thin">
        <color rgb="FF002060"/>
      </bottom>
      <diagonal/>
    </border>
    <border>
      <left/>
      <right/>
      <top style="medium">
        <color theme="4"/>
      </top>
      <bottom/>
      <diagonal/>
    </border>
    <border>
      <left/>
      <right/>
      <top/>
      <bottom style="medium">
        <color theme="4"/>
      </bottom>
      <diagonal/>
    </border>
  </borders>
  <cellStyleXfs count="13">
    <xf numFmtId="0" fontId="0" fillId="0" borderId="0"/>
    <xf numFmtId="43" fontId="8" fillId="0" borderId="0" applyFont="0" applyFill="0" applyBorder="0" applyAlignment="0" applyProtection="0"/>
    <xf numFmtId="9" fontId="8" fillId="0" borderId="0" applyFont="0" applyFill="0" applyBorder="0" applyAlignment="0" applyProtection="0"/>
    <xf numFmtId="43" fontId="23" fillId="0" borderId="0" applyFont="0" applyFill="0" applyBorder="0" applyAlignment="0" applyProtection="0"/>
    <xf numFmtId="0" fontId="22" fillId="0" borderId="0" applyNumberFormat="0" applyFill="0" applyBorder="0" applyAlignment="0" applyProtection="0">
      <alignment vertical="top"/>
      <protection locked="0"/>
    </xf>
    <xf numFmtId="0" fontId="24" fillId="6" borderId="0" applyNumberFormat="0" applyBorder="0" applyAlignment="0" applyProtection="0"/>
    <xf numFmtId="0" fontId="23" fillId="0" borderId="0"/>
    <xf numFmtId="9" fontId="23" fillId="0" borderId="0" applyFont="0" applyFill="0" applyBorder="0" applyAlignment="0" applyProtection="0"/>
    <xf numFmtId="0" fontId="25" fillId="0" borderId="0"/>
    <xf numFmtId="0" fontId="22" fillId="0" borderId="0" applyNumberFormat="0" applyFill="0" applyBorder="0" applyAlignment="0" applyProtection="0"/>
    <xf numFmtId="43" fontId="23" fillId="0" borderId="0" applyFont="0" applyFill="0" applyBorder="0" applyAlignment="0" applyProtection="0"/>
    <xf numFmtId="0" fontId="24" fillId="10" borderId="0" applyNumberFormat="0" applyBorder="0" applyAlignment="0" applyProtection="0"/>
    <xf numFmtId="0" fontId="24" fillId="11" borderId="0" applyNumberFormat="0" applyBorder="0" applyAlignment="0" applyProtection="0"/>
  </cellStyleXfs>
  <cellXfs count="236">
    <xf numFmtId="0" fontId="0" fillId="0" borderId="0" xfId="0"/>
    <xf numFmtId="0" fontId="2" fillId="0" borderId="0" xfId="0" applyFont="1"/>
    <xf numFmtId="0" fontId="1" fillId="0" borderId="0" xfId="0" applyFont="1"/>
    <xf numFmtId="164" fontId="1" fillId="2" borderId="0" xfId="0" applyNumberFormat="1" applyFont="1" applyFill="1"/>
    <xf numFmtId="165" fontId="1" fillId="2" borderId="0" xfId="0" applyNumberFormat="1" applyFont="1" applyFill="1"/>
    <xf numFmtId="0" fontId="4" fillId="0" borderId="0" xfId="0" applyFont="1"/>
    <xf numFmtId="4" fontId="0" fillId="0" borderId="0" xfId="0" applyNumberFormat="1"/>
    <xf numFmtId="4" fontId="5" fillId="0" borderId="0" xfId="0" applyNumberFormat="1" applyFont="1"/>
    <xf numFmtId="17" fontId="5" fillId="0" borderId="0" xfId="0" applyNumberFormat="1" applyFont="1"/>
    <xf numFmtId="10" fontId="6" fillId="0" borderId="0" xfId="0" applyNumberFormat="1" applyFont="1"/>
    <xf numFmtId="3" fontId="0" fillId="0" borderId="0" xfId="0" applyNumberFormat="1"/>
    <xf numFmtId="10" fontId="0" fillId="0" borderId="0" xfId="0" applyNumberFormat="1"/>
    <xf numFmtId="166" fontId="0" fillId="0" borderId="0" xfId="0" applyNumberFormat="1"/>
    <xf numFmtId="2" fontId="0" fillId="0" borderId="0" xfId="0" applyNumberFormat="1"/>
    <xf numFmtId="3" fontId="14" fillId="2" borderId="0" xfId="0" applyNumberFormat="1" applyFont="1" applyFill="1"/>
    <xf numFmtId="0" fontId="1" fillId="0" borderId="2" xfId="0" applyFont="1" applyBorder="1"/>
    <xf numFmtId="0" fontId="1" fillId="2" borderId="0" xfId="0" applyFont="1" applyFill="1"/>
    <xf numFmtId="0" fontId="0" fillId="0" borderId="3" xfId="0" applyBorder="1"/>
    <xf numFmtId="0" fontId="0" fillId="0" borderId="4" xfId="0" applyBorder="1"/>
    <xf numFmtId="0" fontId="0" fillId="2" borderId="0" xfId="0" applyFill="1"/>
    <xf numFmtId="0" fontId="1" fillId="2" borderId="0" xfId="0" applyFont="1" applyFill="1" applyAlignment="1">
      <alignment horizontal="right"/>
    </xf>
    <xf numFmtId="0" fontId="1" fillId="0" borderId="5" xfId="0" applyFont="1" applyBorder="1"/>
    <xf numFmtId="0" fontId="0" fillId="0" borderId="5" xfId="0" applyBorder="1"/>
    <xf numFmtId="0" fontId="1" fillId="0" borderId="6" xfId="0" applyFont="1" applyBorder="1"/>
    <xf numFmtId="4" fontId="2" fillId="0" borderId="3" xfId="0" applyNumberFormat="1" applyFont="1" applyBorder="1"/>
    <xf numFmtId="4" fontId="2" fillId="0" borderId="4" xfId="0" applyNumberFormat="1" applyFont="1" applyBorder="1"/>
    <xf numFmtId="0" fontId="2" fillId="0" borderId="4" xfId="0" applyFont="1" applyBorder="1"/>
    <xf numFmtId="4" fontId="2" fillId="0" borderId="0" xfId="0" applyNumberFormat="1" applyFont="1"/>
    <xf numFmtId="0" fontId="7" fillId="0" borderId="0" xfId="0" applyFont="1"/>
    <xf numFmtId="10" fontId="15" fillId="0" borderId="0" xfId="0" applyNumberFormat="1" applyFont="1"/>
    <xf numFmtId="166" fontId="0" fillId="0" borderId="3" xfId="0" applyNumberFormat="1" applyBorder="1"/>
    <xf numFmtId="166" fontId="0" fillId="0" borderId="4" xfId="0" applyNumberFormat="1" applyBorder="1"/>
    <xf numFmtId="10" fontId="9" fillId="3" borderId="0" xfId="0" applyNumberFormat="1" applyFont="1" applyFill="1"/>
    <xf numFmtId="0" fontId="0" fillId="0" borderId="6" xfId="0" applyBorder="1"/>
    <xf numFmtId="10" fontId="2" fillId="0" borderId="5" xfId="0" applyNumberFormat="1" applyFont="1" applyBorder="1"/>
    <xf numFmtId="4" fontId="2" fillId="0" borderId="7" xfId="0" applyNumberFormat="1" applyFont="1" applyBorder="1"/>
    <xf numFmtId="0" fontId="16" fillId="0" borderId="0" xfId="0" applyFont="1"/>
    <xf numFmtId="0" fontId="17" fillId="3" borderId="0" xfId="0" applyFont="1" applyFill="1" applyAlignment="1">
      <alignment horizontal="center"/>
    </xf>
    <xf numFmtId="0" fontId="17" fillId="2" borderId="0" xfId="0" applyFont="1" applyFill="1" applyAlignment="1">
      <alignment horizontal="center"/>
    </xf>
    <xf numFmtId="0" fontId="17" fillId="3" borderId="0" xfId="0" applyFont="1" applyFill="1"/>
    <xf numFmtId="0" fontId="1" fillId="3" borderId="0" xfId="0" applyFont="1" applyFill="1"/>
    <xf numFmtId="2" fontId="1" fillId="3" borderId="0" xfId="0" applyNumberFormat="1" applyFont="1" applyFill="1"/>
    <xf numFmtId="0" fontId="6" fillId="0" borderId="0" xfId="0" applyFont="1"/>
    <xf numFmtId="0" fontId="0" fillId="3" borderId="0" xfId="0" applyFill="1" applyAlignment="1">
      <alignment horizontal="center"/>
    </xf>
    <xf numFmtId="0" fontId="1" fillId="4" borderId="0" xfId="0" applyFont="1" applyFill="1"/>
    <xf numFmtId="10" fontId="1" fillId="4" borderId="0" xfId="0" applyNumberFormat="1" applyFont="1" applyFill="1"/>
    <xf numFmtId="0" fontId="0" fillId="0" borderId="2" xfId="0" applyBorder="1"/>
    <xf numFmtId="166" fontId="0" fillId="0" borderId="2" xfId="0" applyNumberFormat="1" applyBorder="1"/>
    <xf numFmtId="0" fontId="9" fillId="5" borderId="0" xfId="0" applyFont="1" applyFill="1"/>
    <xf numFmtId="0" fontId="19" fillId="5" borderId="0" xfId="0" applyFont="1" applyFill="1"/>
    <xf numFmtId="0" fontId="16" fillId="0" borderId="1" xfId="0" applyFont="1" applyBorder="1"/>
    <xf numFmtId="0" fontId="0" fillId="0" borderId="1" xfId="0" applyBorder="1"/>
    <xf numFmtId="10" fontId="5" fillId="4" borderId="0" xfId="0" applyNumberFormat="1" applyFont="1" applyFill="1"/>
    <xf numFmtId="43" fontId="0" fillId="0" borderId="0" xfId="1" applyFont="1"/>
    <xf numFmtId="43" fontId="1" fillId="0" borderId="1" xfId="1" applyFont="1" applyBorder="1"/>
    <xf numFmtId="43" fontId="1" fillId="0" borderId="6" xfId="1" applyFont="1" applyBorder="1"/>
    <xf numFmtId="43" fontId="0" fillId="0" borderId="5" xfId="1" applyFont="1" applyBorder="1"/>
    <xf numFmtId="9" fontId="0" fillId="0" borderId="0" xfId="0" applyNumberFormat="1"/>
    <xf numFmtId="168" fontId="0" fillId="0" borderId="0" xfId="1" applyNumberFormat="1" applyFont="1"/>
    <xf numFmtId="168" fontId="1" fillId="0" borderId="0" xfId="1" applyNumberFormat="1" applyFont="1"/>
    <xf numFmtId="168" fontId="0" fillId="0" borderId="5" xfId="1" applyNumberFormat="1" applyFont="1" applyBorder="1"/>
    <xf numFmtId="168" fontId="16" fillId="0" borderId="0" xfId="1" applyNumberFormat="1" applyFont="1"/>
    <xf numFmtId="168" fontId="5" fillId="0" borderId="0" xfId="1" applyNumberFormat="1" applyFont="1"/>
    <xf numFmtId="43" fontId="18" fillId="0" borderId="0" xfId="1" applyFont="1" applyAlignment="1">
      <alignment horizontal="right"/>
    </xf>
    <xf numFmtId="0" fontId="0" fillId="3" borderId="0" xfId="0" applyFill="1"/>
    <xf numFmtId="0" fontId="0" fillId="0" borderId="8" xfId="0" applyBorder="1"/>
    <xf numFmtId="0" fontId="2" fillId="0" borderId="8" xfId="0" applyFont="1" applyBorder="1"/>
    <xf numFmtId="0" fontId="1" fillId="0" borderId="8" xfId="0" applyFont="1" applyBorder="1"/>
    <xf numFmtId="4" fontId="2" fillId="0" borderId="8" xfId="0" applyNumberFormat="1" applyFont="1" applyBorder="1"/>
    <xf numFmtId="166" fontId="0" fillId="3" borderId="8" xfId="0" applyNumberFormat="1" applyFill="1" applyBorder="1"/>
    <xf numFmtId="166" fontId="12" fillId="3" borderId="8" xfId="0" applyNumberFormat="1" applyFont="1" applyFill="1" applyBorder="1"/>
    <xf numFmtId="167" fontId="0" fillId="3" borderId="8" xfId="0" applyNumberFormat="1" applyFill="1" applyBorder="1"/>
    <xf numFmtId="166" fontId="2" fillId="0" borderId="8" xfId="0" applyNumberFormat="1" applyFont="1" applyBorder="1"/>
    <xf numFmtId="166" fontId="11" fillId="0" borderId="8" xfId="0" applyNumberFormat="1" applyFont="1" applyBorder="1"/>
    <xf numFmtId="0" fontId="4" fillId="0" borderId="8" xfId="0" applyFont="1" applyBorder="1"/>
    <xf numFmtId="10" fontId="15" fillId="0" borderId="8" xfId="0" applyNumberFormat="1" applyFont="1" applyBorder="1"/>
    <xf numFmtId="10" fontId="6" fillId="0" borderId="8" xfId="0" applyNumberFormat="1" applyFont="1" applyBorder="1"/>
    <xf numFmtId="10" fontId="13" fillId="0" borderId="8" xfId="0" applyNumberFormat="1" applyFont="1" applyBorder="1"/>
    <xf numFmtId="10" fontId="16" fillId="0" borderId="8" xfId="0" applyNumberFormat="1" applyFont="1" applyBorder="1"/>
    <xf numFmtId="0" fontId="1" fillId="0" borderId="4" xfId="0" applyFont="1" applyBorder="1"/>
    <xf numFmtId="166" fontId="2" fillId="0" borderId="4" xfId="0" applyNumberFormat="1" applyFont="1" applyBorder="1"/>
    <xf numFmtId="4" fontId="0" fillId="0" borderId="8" xfId="0" applyNumberFormat="1" applyBorder="1"/>
    <xf numFmtId="10" fontId="2" fillId="0" borderId="8" xfId="0" applyNumberFormat="1" applyFont="1" applyBorder="1"/>
    <xf numFmtId="9" fontId="6" fillId="0" borderId="8" xfId="0" applyNumberFormat="1" applyFont="1" applyBorder="1"/>
    <xf numFmtId="0" fontId="0" fillId="0" borderId="10" xfId="0" applyBorder="1"/>
    <xf numFmtId="0" fontId="2" fillId="0" borderId="10" xfId="0" applyFont="1" applyBorder="1"/>
    <xf numFmtId="0" fontId="10" fillId="0" borderId="9" xfId="0" applyFont="1" applyBorder="1"/>
    <xf numFmtId="0" fontId="0" fillId="0" borderId="9" xfId="0" applyBorder="1"/>
    <xf numFmtId="4" fontId="7" fillId="0" borderId="9" xfId="0" applyNumberFormat="1" applyFont="1" applyBorder="1"/>
    <xf numFmtId="166" fontId="1" fillId="0" borderId="9" xfId="0" applyNumberFormat="1" applyFont="1" applyBorder="1"/>
    <xf numFmtId="10" fontId="15" fillId="0" borderId="8" xfId="0" applyNumberFormat="1" applyFont="1" applyBorder="1" applyAlignment="1">
      <alignment horizontal="center"/>
    </xf>
    <xf numFmtId="0" fontId="20" fillId="0" borderId="8" xfId="0" applyFont="1" applyBorder="1"/>
    <xf numFmtId="0" fontId="2" fillId="0" borderId="5" xfId="0" applyFont="1" applyBorder="1"/>
    <xf numFmtId="3" fontId="0" fillId="0" borderId="8" xfId="0" applyNumberFormat="1" applyBorder="1"/>
    <xf numFmtId="166" fontId="0" fillId="0" borderId="8" xfId="0" applyNumberFormat="1" applyBorder="1"/>
    <xf numFmtId="3" fontId="14" fillId="2" borderId="8" xfId="0" applyNumberFormat="1" applyFont="1" applyFill="1" applyBorder="1"/>
    <xf numFmtId="2" fontId="2" fillId="0" borderId="8" xfId="0" applyNumberFormat="1" applyFont="1" applyBorder="1"/>
    <xf numFmtId="167" fontId="2" fillId="0" borderId="8" xfId="0" applyNumberFormat="1" applyFont="1" applyBorder="1"/>
    <xf numFmtId="0" fontId="1" fillId="3" borderId="8" xfId="0" applyFont="1" applyFill="1" applyBorder="1"/>
    <xf numFmtId="0" fontId="0" fillId="0" borderId="8" xfId="0" applyBorder="1" applyAlignment="1">
      <alignment wrapText="1"/>
    </xf>
    <xf numFmtId="0" fontId="0" fillId="0" borderId="11" xfId="0" applyBorder="1"/>
    <xf numFmtId="0" fontId="2" fillId="0" borderId="11" xfId="0" applyFont="1" applyBorder="1"/>
    <xf numFmtId="0" fontId="1" fillId="0" borderId="10" xfId="0" applyFont="1" applyBorder="1"/>
    <xf numFmtId="0" fontId="0" fillId="3" borderId="8" xfId="0" applyFill="1" applyBorder="1"/>
    <xf numFmtId="4" fontId="2" fillId="0" borderId="10" xfId="0" applyNumberFormat="1" applyFont="1" applyBorder="1"/>
    <xf numFmtId="0" fontId="7" fillId="0" borderId="8" xfId="0" quotePrefix="1" applyFont="1" applyBorder="1" applyAlignment="1">
      <alignment horizontal="center"/>
    </xf>
    <xf numFmtId="166" fontId="0" fillId="0" borderId="10" xfId="0" applyNumberFormat="1" applyBorder="1"/>
    <xf numFmtId="166" fontId="0" fillId="0" borderId="11" xfId="0" applyNumberFormat="1" applyBorder="1"/>
    <xf numFmtId="2" fontId="0" fillId="3" borderId="8" xfId="0" applyNumberFormat="1" applyFill="1" applyBorder="1"/>
    <xf numFmtId="10" fontId="0" fillId="3" borderId="8" xfId="0" applyNumberFormat="1" applyFill="1" applyBorder="1"/>
    <xf numFmtId="10" fontId="2" fillId="0" borderId="2" xfId="0" applyNumberFormat="1" applyFont="1" applyBorder="1"/>
    <xf numFmtId="10" fontId="1" fillId="0" borderId="2" xfId="0" applyNumberFormat="1" applyFont="1" applyBorder="1"/>
    <xf numFmtId="2" fontId="2" fillId="0" borderId="0" xfId="0" applyNumberFormat="1" applyFont="1"/>
    <xf numFmtId="10" fontId="16" fillId="3" borderId="5" xfId="0" applyNumberFormat="1" applyFont="1" applyFill="1" applyBorder="1"/>
    <xf numFmtId="4" fontId="2" fillId="0" borderId="6" xfId="0" applyNumberFormat="1" applyFont="1" applyBorder="1"/>
    <xf numFmtId="168" fontId="0" fillId="0" borderId="6" xfId="1" applyNumberFormat="1" applyFont="1" applyBorder="1"/>
    <xf numFmtId="4" fontId="2" fillId="0" borderId="5" xfId="0" applyNumberFormat="1" applyFont="1" applyBorder="1"/>
    <xf numFmtId="0" fontId="2" fillId="2" borderId="8" xfId="0" applyFont="1" applyFill="1" applyBorder="1"/>
    <xf numFmtId="0" fontId="0" fillId="2" borderId="8" xfId="0" applyFill="1" applyBorder="1"/>
    <xf numFmtId="4" fontId="2" fillId="3" borderId="8" xfId="0" applyNumberFormat="1" applyFont="1" applyFill="1" applyBorder="1"/>
    <xf numFmtId="9" fontId="26" fillId="0" borderId="0" xfId="0" applyNumberFormat="1"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xf numFmtId="10" fontId="0" fillId="0" borderId="0" xfId="2" applyNumberFormat="1" applyFont="1" applyAlignment="1">
      <alignment horizontal="right"/>
    </xf>
    <xf numFmtId="10" fontId="0" fillId="0" borderId="3" xfId="0" applyNumberFormat="1" applyBorder="1"/>
    <xf numFmtId="0" fontId="26" fillId="0" borderId="0" xfId="0" applyFont="1"/>
    <xf numFmtId="43" fontId="26" fillId="0" borderId="0" xfId="1" applyFont="1"/>
    <xf numFmtId="10" fontId="0" fillId="0" borderId="0" xfId="0" applyNumberFormat="1" applyAlignment="1">
      <alignment horizontal="right"/>
    </xf>
    <xf numFmtId="0" fontId="27" fillId="0" borderId="0" xfId="9" applyFont="1"/>
    <xf numFmtId="0" fontId="27" fillId="8" borderId="0" xfId="9" applyFont="1" applyFill="1" applyAlignment="1">
      <alignment horizontal="left" vertical="center"/>
    </xf>
    <xf numFmtId="10" fontId="26" fillId="0" borderId="0" xfId="0" applyNumberFormat="1" applyFont="1"/>
    <xf numFmtId="10" fontId="0" fillId="2" borderId="0" xfId="0" applyNumberFormat="1" applyFill="1"/>
    <xf numFmtId="2" fontId="26" fillId="0" borderId="0" xfId="0" applyNumberFormat="1" applyFont="1"/>
    <xf numFmtId="0" fontId="1" fillId="0" borderId="3" xfId="0" applyFont="1" applyBorder="1"/>
    <xf numFmtId="9" fontId="26" fillId="0" borderId="3" xfId="0" applyNumberFormat="1" applyFont="1" applyBorder="1"/>
    <xf numFmtId="10" fontId="0" fillId="0" borderId="4" xfId="0" applyNumberFormat="1" applyBorder="1"/>
    <xf numFmtId="2" fontId="0" fillId="0" borderId="4" xfId="0" applyNumberFormat="1" applyBorder="1"/>
    <xf numFmtId="2" fontId="26" fillId="0" borderId="3" xfId="0" applyNumberFormat="1" applyFont="1" applyBorder="1"/>
    <xf numFmtId="0" fontId="1" fillId="3" borderId="4" xfId="0" applyFont="1" applyFill="1" applyBorder="1"/>
    <xf numFmtId="0" fontId="9" fillId="3" borderId="4" xfId="0" applyFont="1" applyFill="1" applyBorder="1"/>
    <xf numFmtId="0" fontId="8" fillId="3" borderId="0" xfId="0" applyFont="1" applyFill="1"/>
    <xf numFmtId="10" fontId="1" fillId="3" borderId="0" xfId="0" applyNumberFormat="1" applyFont="1" applyFill="1"/>
    <xf numFmtId="10" fontId="8" fillId="3" borderId="0" xfId="0" applyNumberFormat="1" applyFont="1" applyFill="1"/>
    <xf numFmtId="0" fontId="9" fillId="3" borderId="0" xfId="0" applyFont="1" applyFill="1" applyAlignment="1">
      <alignment horizontal="center"/>
    </xf>
    <xf numFmtId="0" fontId="0" fillId="0" borderId="12" xfId="0" applyBorder="1"/>
    <xf numFmtId="0" fontId="1" fillId="0" borderId="4" xfId="0" applyFont="1" applyBorder="1" applyAlignment="1">
      <alignment horizontal="right"/>
    </xf>
    <xf numFmtId="166" fontId="28" fillId="0" borderId="0" xfId="0" applyNumberFormat="1" applyFont="1"/>
    <xf numFmtId="10" fontId="0" fillId="0" borderId="0" xfId="2" applyNumberFormat="1" applyFont="1"/>
    <xf numFmtId="10" fontId="0" fillId="7" borderId="0" xfId="0" applyNumberFormat="1" applyFill="1"/>
    <xf numFmtId="10" fontId="28" fillId="0" borderId="4" xfId="0" applyNumberFormat="1" applyFont="1" applyBorder="1"/>
    <xf numFmtId="9" fontId="28" fillId="0" borderId="0" xfId="0" applyNumberFormat="1" applyFont="1"/>
    <xf numFmtId="10" fontId="0" fillId="0" borderId="3" xfId="2" applyNumberFormat="1" applyFont="1" applyBorder="1"/>
    <xf numFmtId="2" fontId="0" fillId="0" borderId="3" xfId="0" applyNumberFormat="1" applyBorder="1"/>
    <xf numFmtId="10" fontId="28" fillId="0" borderId="0" xfId="2" applyNumberFormat="1" applyFont="1"/>
    <xf numFmtId="10" fontId="0" fillId="7" borderId="12" xfId="2" applyNumberFormat="1" applyFont="1" applyFill="1" applyBorder="1"/>
    <xf numFmtId="10" fontId="0" fillId="0" borderId="0" xfId="2" applyNumberFormat="1" applyFont="1" applyFill="1" applyBorder="1"/>
    <xf numFmtId="0" fontId="1" fillId="7" borderId="3" xfId="0" applyFont="1" applyFill="1" applyBorder="1"/>
    <xf numFmtId="0" fontId="3" fillId="3" borderId="0" xfId="0" applyFont="1" applyFill="1" applyAlignment="1">
      <alignment horizontal="center"/>
    </xf>
    <xf numFmtId="0" fontId="30" fillId="3" borderId="0" xfId="0" applyFont="1" applyFill="1"/>
    <xf numFmtId="167" fontId="1" fillId="3" borderId="0" xfId="0" applyNumberFormat="1" applyFont="1" applyFill="1"/>
    <xf numFmtId="0" fontId="3" fillId="9" borderId="0" xfId="0" applyFont="1" applyFill="1" applyAlignment="1">
      <alignment horizontal="center"/>
    </xf>
    <xf numFmtId="0" fontId="0" fillId="9" borderId="0" xfId="0" applyFill="1"/>
    <xf numFmtId="0" fontId="33" fillId="9" borderId="0" xfId="0" applyFont="1" applyFill="1"/>
    <xf numFmtId="0" fontId="29" fillId="9" borderId="0" xfId="0" applyFont="1" applyFill="1"/>
    <xf numFmtId="0" fontId="9" fillId="9" borderId="0" xfId="0" applyFont="1" applyFill="1"/>
    <xf numFmtId="0" fontId="19" fillId="9" borderId="0" xfId="0" applyFont="1" applyFill="1"/>
    <xf numFmtId="43" fontId="9" fillId="9" borderId="0" xfId="1" applyFont="1" applyFill="1"/>
    <xf numFmtId="10" fontId="34" fillId="3" borderId="0" xfId="0" applyNumberFormat="1" applyFont="1" applyFill="1" applyAlignment="1">
      <alignment horizontal="left"/>
    </xf>
    <xf numFmtId="4" fontId="19" fillId="3" borderId="0" xfId="0" applyNumberFormat="1" applyFont="1" applyFill="1"/>
    <xf numFmtId="4" fontId="19" fillId="0" borderId="6" xfId="0" applyNumberFormat="1" applyFont="1" applyBorder="1"/>
    <xf numFmtId="0" fontId="9" fillId="0" borderId="0" xfId="0" applyFont="1" applyAlignment="1">
      <alignment horizontal="center"/>
    </xf>
    <xf numFmtId="43" fontId="9" fillId="3" borderId="0" xfId="1" applyFont="1" applyFill="1" applyAlignment="1">
      <alignment horizontal="left" vertical="top"/>
    </xf>
    <xf numFmtId="167" fontId="19" fillId="0" borderId="0" xfId="0" applyNumberFormat="1" applyFont="1" applyAlignment="1">
      <alignment horizontal="right"/>
    </xf>
    <xf numFmtId="9" fontId="1" fillId="0" borderId="0" xfId="0" applyNumberFormat="1" applyFont="1" applyAlignment="1">
      <alignment horizontal="right"/>
    </xf>
    <xf numFmtId="9" fontId="1" fillId="0" borderId="0" xfId="0" applyNumberFormat="1" applyFont="1" applyAlignment="1">
      <alignment horizontal="center"/>
    </xf>
    <xf numFmtId="2" fontId="0" fillId="0" borderId="0" xfId="0" applyNumberFormat="1" applyAlignment="1">
      <alignment horizontal="center"/>
    </xf>
    <xf numFmtId="0" fontId="9" fillId="9" borderId="0" xfId="0" applyFont="1" applyFill="1" applyAlignment="1">
      <alignment horizontal="center"/>
    </xf>
    <xf numFmtId="0" fontId="19" fillId="9" borderId="0" xfId="0" applyFont="1" applyFill="1" applyAlignment="1">
      <alignment horizontal="center"/>
    </xf>
    <xf numFmtId="0" fontId="9" fillId="9" borderId="0" xfId="0" applyFont="1" applyFill="1" applyAlignment="1">
      <alignment horizontal="right" wrapText="1"/>
    </xf>
    <xf numFmtId="0" fontId="9" fillId="9" borderId="0" xfId="0" applyFont="1" applyFill="1" applyAlignment="1">
      <alignment horizontal="right"/>
    </xf>
    <xf numFmtId="0" fontId="35" fillId="0" borderId="0" xfId="0" applyFont="1"/>
    <xf numFmtId="0" fontId="1" fillId="3" borderId="0" xfId="0" applyFont="1" applyFill="1" applyAlignment="1">
      <alignment horizontal="right"/>
    </xf>
    <xf numFmtId="164" fontId="1" fillId="3" borderId="0" xfId="0" applyNumberFormat="1" applyFont="1" applyFill="1"/>
    <xf numFmtId="165" fontId="1" fillId="3" borderId="0" xfId="0" applyNumberFormat="1" applyFont="1" applyFill="1"/>
    <xf numFmtId="0" fontId="0" fillId="0" borderId="0" xfId="0" applyAlignment="1">
      <alignment horizontal="right"/>
    </xf>
    <xf numFmtId="2" fontId="0" fillId="0" borderId="0" xfId="0" applyNumberFormat="1" applyAlignment="1">
      <alignment horizontal="right"/>
    </xf>
    <xf numFmtId="168" fontId="0" fillId="0" borderId="8" xfId="0" applyNumberFormat="1" applyBorder="1"/>
    <xf numFmtId="168" fontId="0" fillId="0" borderId="8" xfId="1" applyNumberFormat="1" applyFont="1" applyBorder="1"/>
    <xf numFmtId="168" fontId="0" fillId="0" borderId="8" xfId="1" applyNumberFormat="1" applyFont="1" applyBorder="1" applyAlignment="1">
      <alignment horizontal="center"/>
    </xf>
    <xf numFmtId="169" fontId="12" fillId="3" borderId="8" xfId="0" applyNumberFormat="1" applyFont="1" applyFill="1" applyBorder="1" applyAlignment="1">
      <alignment horizontal="right"/>
    </xf>
    <xf numFmtId="168" fontId="0" fillId="2" borderId="8" xfId="0" applyNumberFormat="1" applyFill="1" applyBorder="1"/>
    <xf numFmtId="168" fontId="0" fillId="2" borderId="8" xfId="1" applyNumberFormat="1" applyFont="1" applyFill="1" applyBorder="1"/>
    <xf numFmtId="168" fontId="0" fillId="2" borderId="8" xfId="1" applyNumberFormat="1" applyFont="1" applyFill="1" applyBorder="1" applyAlignment="1">
      <alignment horizontal="center"/>
    </xf>
    <xf numFmtId="169" fontId="12" fillId="2" borderId="8" xfId="0" applyNumberFormat="1" applyFont="1" applyFill="1" applyBorder="1" applyAlignment="1">
      <alignment horizontal="right"/>
    </xf>
    <xf numFmtId="0" fontId="0" fillId="4" borderId="8" xfId="0" applyFill="1" applyBorder="1"/>
    <xf numFmtId="169" fontId="0" fillId="4" borderId="8" xfId="0" applyNumberFormat="1" applyFill="1" applyBorder="1"/>
    <xf numFmtId="0" fontId="1" fillId="4" borderId="8" xfId="0" applyFont="1" applyFill="1" applyBorder="1"/>
    <xf numFmtId="169" fontId="1" fillId="4" borderId="8" xfId="0" applyNumberFormat="1" applyFont="1" applyFill="1" applyBorder="1"/>
    <xf numFmtId="0" fontId="0" fillId="0" borderId="14" xfId="0" applyBorder="1"/>
    <xf numFmtId="0" fontId="1" fillId="4" borderId="16" xfId="0" applyFont="1" applyFill="1" applyBorder="1"/>
    <xf numFmtId="166" fontId="1" fillId="4" borderId="16" xfId="0" applyNumberFormat="1" applyFont="1" applyFill="1" applyBorder="1"/>
    <xf numFmtId="166" fontId="1" fillId="0" borderId="0" xfId="0" applyNumberFormat="1" applyFont="1"/>
    <xf numFmtId="0" fontId="9" fillId="9" borderId="15" xfId="0" applyFont="1" applyFill="1" applyBorder="1"/>
    <xf numFmtId="0" fontId="36" fillId="9" borderId="0" xfId="0" applyFont="1" applyFill="1"/>
    <xf numFmtId="0" fontId="37" fillId="9" borderId="0" xfId="0" applyFont="1" applyFill="1"/>
    <xf numFmtId="168" fontId="0" fillId="0" borderId="14" xfId="1" applyNumberFormat="1" applyFont="1" applyBorder="1"/>
    <xf numFmtId="0" fontId="0" fillId="0" borderId="0" xfId="0" applyAlignment="1">
      <alignment wrapText="1"/>
    </xf>
    <xf numFmtId="17" fontId="1" fillId="0" borderId="0" xfId="0" applyNumberFormat="1" applyFont="1"/>
    <xf numFmtId="0" fontId="39" fillId="0" borderId="0" xfId="0" applyFont="1" applyAlignment="1">
      <alignment horizontal="left"/>
    </xf>
    <xf numFmtId="0" fontId="39" fillId="0" borderId="0" xfId="0" applyFont="1"/>
    <xf numFmtId="0" fontId="3" fillId="9" borderId="0" xfId="0" applyFont="1" applyFill="1" applyAlignment="1">
      <alignment horizontal="left"/>
    </xf>
    <xf numFmtId="0" fontId="1" fillId="12" borderId="0" xfId="0" applyFont="1" applyFill="1"/>
    <xf numFmtId="10" fontId="1" fillId="12" borderId="0" xfId="2" applyNumberFormat="1" applyFont="1" applyFill="1"/>
    <xf numFmtId="169" fontId="1" fillId="12" borderId="0" xfId="2" applyNumberFormat="1" applyFont="1" applyFill="1"/>
    <xf numFmtId="170" fontId="1" fillId="12" borderId="0" xfId="2" applyNumberFormat="1" applyFont="1" applyFill="1"/>
    <xf numFmtId="0" fontId="23" fillId="0" borderId="0" xfId="6"/>
    <xf numFmtId="43" fontId="41" fillId="0" borderId="0" xfId="10" applyFont="1" applyBorder="1"/>
    <xf numFmtId="43" fontId="23" fillId="0" borderId="0" xfId="10" applyFont="1" applyBorder="1"/>
    <xf numFmtId="171" fontId="42" fillId="13" borderId="0" xfId="6" applyNumberFormat="1" applyFont="1" applyFill="1" applyAlignment="1">
      <alignment horizontal="center"/>
    </xf>
    <xf numFmtId="171" fontId="42" fillId="13" borderId="0" xfId="10" applyNumberFormat="1" applyFont="1" applyFill="1" applyBorder="1"/>
    <xf numFmtId="0" fontId="39" fillId="0" borderId="17" xfId="0" applyFont="1" applyBorder="1"/>
    <xf numFmtId="0" fontId="0" fillId="0" borderId="17" xfId="0" applyBorder="1" applyAlignment="1">
      <alignment wrapText="1"/>
    </xf>
    <xf numFmtId="0" fontId="0" fillId="0" borderId="18" xfId="0" applyBorder="1"/>
    <xf numFmtId="0" fontId="22" fillId="0" borderId="0" xfId="9"/>
    <xf numFmtId="0" fontId="20" fillId="0" borderId="0" xfId="9" applyFont="1"/>
    <xf numFmtId="43" fontId="40" fillId="0" borderId="0" xfId="0" applyNumberFormat="1" applyFont="1"/>
    <xf numFmtId="0" fontId="37" fillId="3" borderId="0" xfId="0" applyFont="1" applyFill="1"/>
    <xf numFmtId="0" fontId="36" fillId="3" borderId="0" xfId="0" applyFont="1" applyFill="1"/>
    <xf numFmtId="0" fontId="31" fillId="3" borderId="0" xfId="0" applyFont="1" applyFill="1" applyAlignment="1">
      <alignment horizontal="left"/>
    </xf>
    <xf numFmtId="0" fontId="9" fillId="9" borderId="0" xfId="0" applyFont="1" applyFill="1" applyAlignment="1">
      <alignment horizontal="left"/>
    </xf>
    <xf numFmtId="0" fontId="9" fillId="9" borderId="13" xfId="0" applyFont="1" applyFill="1" applyBorder="1" applyAlignment="1">
      <alignment horizontal="center"/>
    </xf>
    <xf numFmtId="0" fontId="38" fillId="0" borderId="0" xfId="0" applyFont="1" applyAlignment="1">
      <alignment horizontal="left" vertical="center" wrapText="1"/>
    </xf>
    <xf numFmtId="0" fontId="3" fillId="9" borderId="0" xfId="0" applyFont="1" applyFill="1" applyAlignment="1">
      <alignment horizontal="center"/>
    </xf>
    <xf numFmtId="43" fontId="22" fillId="0" borderId="0" xfId="4" applyNumberFormat="1" applyBorder="1" applyAlignment="1" applyProtection="1">
      <alignment horizontal="center"/>
    </xf>
    <xf numFmtId="43" fontId="42" fillId="6" borderId="0" xfId="5" applyNumberFormat="1" applyFont="1" applyBorder="1" applyAlignment="1">
      <alignment horizontal="center"/>
    </xf>
  </cellXfs>
  <cellStyles count="13">
    <cellStyle name="60% - Accent1 2" xfId="11" xr:uid="{05C6CE8B-802B-4B6B-8F14-9276E5B02EF5}"/>
    <cellStyle name="60% - Accent3 2" xfId="12" xr:uid="{E1C6409B-676E-44C1-ABE7-7B8E0A64C030}"/>
    <cellStyle name="Accent6 2" xfId="5" xr:uid="{BBCA0750-7A14-486B-9029-895071B4EE9D}"/>
    <cellStyle name="Comma" xfId="1" builtinId="3"/>
    <cellStyle name="Comma 2" xfId="3" xr:uid="{DD6006CB-9E05-4EAF-8BD7-187D3E092957}"/>
    <cellStyle name="Comma 3" xfId="10" xr:uid="{4298592A-7F6E-48A5-BC89-18658DA09DAB}"/>
    <cellStyle name="Hyperlink" xfId="9" builtinId="8"/>
    <cellStyle name="Hyperlink 2" xfId="4" xr:uid="{5BB93E6B-0E9A-4380-948C-EC8121A31DCC}"/>
    <cellStyle name="Normal" xfId="0" builtinId="0"/>
    <cellStyle name="Normal 2" xfId="8" xr:uid="{AFC347EC-2B87-4648-9612-E1AA3284725C}"/>
    <cellStyle name="Normal 3" xfId="6" xr:uid="{91C674D6-FCD2-496B-B56E-CA1F6D09842E}"/>
    <cellStyle name="Percent" xfId="2" builtinId="5"/>
    <cellStyle name="Percent 3" xfId="7" xr:uid="{628B05E7-585D-4AAF-9393-5B4B15C01126}"/>
  </cellStyles>
  <dxfs count="0"/>
  <tableStyles count="1" defaultTableStyle="TableStyleMedium2" defaultPivotStyle="PivotStyleLight16">
    <tableStyle name="Invisible" pivot="0" table="0" count="0" xr9:uid="{02F7EBBC-FAC6-4BCE-89C0-62644946B188}"/>
  </tableStyles>
  <colors>
    <mruColors>
      <color rgb="FFFF66CC"/>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solidFill>
                  <a:schemeClr val="accent1">
                    <a:lumMod val="20000"/>
                    <a:lumOff val="80000"/>
                  </a:schemeClr>
                </a:solidFill>
              </a:ln>
              <a:effectLst/>
            </c:spPr>
            <c:extLst>
              <c:ext xmlns:c16="http://schemas.microsoft.com/office/drawing/2014/chart" uri="{C3380CC4-5D6E-409C-BE32-E72D297353CC}">
                <c16:uniqueId val="{00000001-7CC9-46B1-9D00-4F61CCF92A61}"/>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7CC9-46B1-9D00-4F61CCF92A61}"/>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7-7CC9-46B1-9D00-4F61CCF92A6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'!$E$50:$I$50</c:f>
              <c:numCache>
                <c:formatCode>mmm\-yy</c:formatCode>
                <c:ptCount val="5"/>
                <c:pt idx="0">
                  <c:v>43891</c:v>
                </c:pt>
                <c:pt idx="1">
                  <c:v>44256</c:v>
                </c:pt>
                <c:pt idx="2">
                  <c:v>44621</c:v>
                </c:pt>
                <c:pt idx="3">
                  <c:v>44986</c:v>
                </c:pt>
                <c:pt idx="4">
                  <c:v>45352</c:v>
                </c:pt>
              </c:numCache>
            </c:numRef>
          </c:cat>
          <c:val>
            <c:numRef>
              <c:f>'DuPont Analysis '!$E$52:$I$52</c:f>
              <c:numCache>
                <c:formatCode>#,##0.0</c:formatCode>
                <c:ptCount val="5"/>
                <c:pt idx="0">
                  <c:v>112299.42</c:v>
                </c:pt>
                <c:pt idx="1">
                  <c:v>123249.07</c:v>
                </c:pt>
                <c:pt idx="2">
                  <c:v>157668.99</c:v>
                </c:pt>
                <c:pt idx="3">
                  <c:v>139816.65</c:v>
                </c:pt>
                <c:pt idx="4">
                  <c:v>156294.18</c:v>
                </c:pt>
              </c:numCache>
            </c:numRef>
          </c:val>
          <c:extLst>
            <c:ext xmlns:c16="http://schemas.microsoft.com/office/drawing/2014/chart" uri="{C3380CC4-5D6E-409C-BE32-E72D297353CC}">
              <c16:uniqueId val="{00000006-7CC9-46B1-9D00-4F61CCF92A6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20000"/>
                <a:lumOff val="80000"/>
              </a:schemeClr>
            </a:solidFill>
            <a:ln>
              <a:noFill/>
            </a:ln>
            <a:effectLst/>
          </c:spPr>
          <c:invertIfNegative val="0"/>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B05B-49FA-8FBD-FA06271E6174}"/>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B05B-49FA-8FBD-FA06271E6174}"/>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B05B-49FA-8FBD-FA06271E61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'!$E$44:$I$44</c:f>
              <c:numCache>
                <c:formatCode>mmm\-yy</c:formatCode>
                <c:ptCount val="5"/>
                <c:pt idx="0">
                  <c:v>43891</c:v>
                </c:pt>
                <c:pt idx="1">
                  <c:v>44256</c:v>
                </c:pt>
                <c:pt idx="2">
                  <c:v>44621</c:v>
                </c:pt>
                <c:pt idx="3">
                  <c:v>44986</c:v>
                </c:pt>
                <c:pt idx="4">
                  <c:v>45352</c:v>
                </c:pt>
              </c:numCache>
            </c:numRef>
          </c:cat>
          <c:val>
            <c:numRef>
              <c:f>'DuPont Analysis '!$E$45:$I$45</c:f>
              <c:numCache>
                <c:formatCode>#,##0.0</c:formatCode>
                <c:ptCount val="5"/>
                <c:pt idx="0">
                  <c:v>1556.54</c:v>
                </c:pt>
                <c:pt idx="1">
                  <c:v>7490.22</c:v>
                </c:pt>
                <c:pt idx="2">
                  <c:v>40153.93</c:v>
                </c:pt>
                <c:pt idx="3">
                  <c:v>8760.4</c:v>
                </c:pt>
                <c:pt idx="4">
                  <c:v>-4437.4399999999996</c:v>
                </c:pt>
              </c:numCache>
            </c:numRef>
          </c:val>
          <c:extLst>
            <c:ext xmlns:c16="http://schemas.microsoft.com/office/drawing/2014/chart" uri="{C3380CC4-5D6E-409C-BE32-E72D297353CC}">
              <c16:uniqueId val="{00000006-B05B-49FA-8FBD-FA06271E6174}"/>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1-F318-43BA-AB1C-CBD0CC3451A8}"/>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F318-43BA-AB1C-CBD0CC3451A8}"/>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F318-43BA-AB1C-CBD0CC3451A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'!$E$50:$I$50</c:f>
              <c:numCache>
                <c:formatCode>mmm\-yy</c:formatCode>
                <c:ptCount val="5"/>
                <c:pt idx="0">
                  <c:v>43891</c:v>
                </c:pt>
                <c:pt idx="1">
                  <c:v>44256</c:v>
                </c:pt>
                <c:pt idx="2">
                  <c:v>44621</c:v>
                </c:pt>
                <c:pt idx="3">
                  <c:v>44986</c:v>
                </c:pt>
                <c:pt idx="4">
                  <c:v>45352</c:v>
                </c:pt>
              </c:numCache>
            </c:numRef>
          </c:cat>
          <c:val>
            <c:numRef>
              <c:f>'DuPont Analysis '!$E$56:$I$56</c:f>
              <c:numCache>
                <c:formatCode>#,##0.0</c:formatCode>
                <c:ptCount val="5"/>
                <c:pt idx="0">
                  <c:v>240961.28</c:v>
                </c:pt>
                <c:pt idx="1">
                  <c:v>246529.155</c:v>
                </c:pt>
                <c:pt idx="2">
                  <c:v>263165.43</c:v>
                </c:pt>
                <c:pt idx="3">
                  <c:v>283908.72499999998</c:v>
                </c:pt>
                <c:pt idx="4">
                  <c:v>277354.09999999998</c:v>
                </c:pt>
              </c:numCache>
            </c:numRef>
          </c:val>
          <c:extLst>
            <c:ext xmlns:c16="http://schemas.microsoft.com/office/drawing/2014/chart" uri="{C3380CC4-5D6E-409C-BE32-E72D297353CC}">
              <c16:uniqueId val="{00000008-F318-43BA-AB1C-CBD0CC3451A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906-4A5F-A06F-B361F7C53785}"/>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7906-4A5F-A06F-B361F7C53785}"/>
              </c:ext>
            </c:extLst>
          </c:dPt>
          <c:dPt>
            <c:idx val="3"/>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7906-4A5F-A06F-B361F7C53785}"/>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9-7906-4A5F-A06F-B361F7C537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'!$E$50:$I$50</c:f>
              <c:numCache>
                <c:formatCode>mmm\-yy</c:formatCode>
                <c:ptCount val="5"/>
                <c:pt idx="0">
                  <c:v>43891</c:v>
                </c:pt>
                <c:pt idx="1">
                  <c:v>44256</c:v>
                </c:pt>
                <c:pt idx="2">
                  <c:v>44621</c:v>
                </c:pt>
                <c:pt idx="3">
                  <c:v>44986</c:v>
                </c:pt>
                <c:pt idx="4">
                  <c:v>45352</c:v>
                </c:pt>
              </c:numCache>
            </c:numRef>
          </c:cat>
          <c:val>
            <c:numRef>
              <c:f>'DuPont Analysis '!$E$61:$I$61</c:f>
              <c:numCache>
                <c:formatCode>0.00\x</c:formatCode>
                <c:ptCount val="5"/>
                <c:pt idx="0">
                  <c:v>3.3818799509169666</c:v>
                </c:pt>
                <c:pt idx="1">
                  <c:v>3.3356430437031892</c:v>
                </c:pt>
                <c:pt idx="2">
                  <c:v>2.7895156401139038</c:v>
                </c:pt>
                <c:pt idx="3">
                  <c:v>2.6103532217011787</c:v>
                </c:pt>
                <c:pt idx="4">
                  <c:v>2.8429391343262984</c:v>
                </c:pt>
              </c:numCache>
            </c:numRef>
          </c:val>
          <c:extLst>
            <c:ext xmlns:c16="http://schemas.microsoft.com/office/drawing/2014/chart" uri="{C3380CC4-5D6E-409C-BE32-E72D297353CC}">
              <c16:uniqueId val="{00000008-7906-4A5F-A06F-B361F7C5378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C0F2-4ECF-950B-03F5A714857E}"/>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C0F2-4ECF-950B-03F5A714857E}"/>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C0F2-4ECF-950B-03F5A714857E}"/>
              </c:ext>
            </c:extLst>
          </c:dPt>
          <c:dLbls>
            <c:dLbl>
              <c:idx val="4"/>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0F2-4ECF-950B-03F5A71485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 Analysis '!$E$50:$I$50</c:f>
              <c:numCache>
                <c:formatCode>mmm\-yy</c:formatCode>
                <c:ptCount val="5"/>
                <c:pt idx="0">
                  <c:v>43891</c:v>
                </c:pt>
                <c:pt idx="1">
                  <c:v>44256</c:v>
                </c:pt>
                <c:pt idx="2">
                  <c:v>44621</c:v>
                </c:pt>
                <c:pt idx="3">
                  <c:v>44986</c:v>
                </c:pt>
                <c:pt idx="4">
                  <c:v>45352</c:v>
                </c:pt>
              </c:numCache>
            </c:numRef>
          </c:cat>
          <c:val>
            <c:numRef>
              <c:f>'DuPont Analysis '!$E$69:$I$69</c:f>
              <c:numCache>
                <c:formatCode>0.00%</c:formatCode>
                <c:ptCount val="5"/>
                <c:pt idx="0">
                  <c:v>6.4597100413809226E-3</c:v>
                </c:pt>
                <c:pt idx="1">
                  <c:v>3.0382694493071218E-2</c:v>
                </c:pt>
                <c:pt idx="2">
                  <c:v>0.15258056500810158</c:v>
                </c:pt>
                <c:pt idx="3">
                  <c:v>3.0856395836373118E-2</c:v>
                </c:pt>
                <c:pt idx="4">
                  <c:v>-1.5999186599368821E-2</c:v>
                </c:pt>
              </c:numCache>
            </c:numRef>
          </c:val>
          <c:extLst>
            <c:ext xmlns:c16="http://schemas.microsoft.com/office/drawing/2014/chart" uri="{C3380CC4-5D6E-409C-BE32-E72D297353CC}">
              <c16:uniqueId val="{00000008-C0F2-4ECF-950B-03F5A714857E}"/>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2908-4239-99D5-75C4231AD1E1}"/>
              </c:ext>
            </c:extLst>
          </c:dPt>
          <c:dPt>
            <c:idx val="3"/>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2908-4239-99D5-75C4231AD1E1}"/>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A-2908-4239-99D5-75C4231AD1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 '!$E$44:$I$44</c:f>
              <c:numCache>
                <c:formatCode>mmm\-yy</c:formatCode>
                <c:ptCount val="5"/>
                <c:pt idx="0">
                  <c:v>43891</c:v>
                </c:pt>
                <c:pt idx="1">
                  <c:v>44256</c:v>
                </c:pt>
                <c:pt idx="2">
                  <c:v>44621</c:v>
                </c:pt>
                <c:pt idx="3">
                  <c:v>44986</c:v>
                </c:pt>
                <c:pt idx="4">
                  <c:v>45352</c:v>
                </c:pt>
              </c:numCache>
            </c:numRef>
          </c:cat>
          <c:val>
            <c:numRef>
              <c:f>'DuPont Analysis '!$E$61:$I$61</c:f>
              <c:numCache>
                <c:formatCode>0.00\x</c:formatCode>
                <c:ptCount val="5"/>
                <c:pt idx="0">
                  <c:v>3.3818799509169666</c:v>
                </c:pt>
                <c:pt idx="1">
                  <c:v>3.3356430437031892</c:v>
                </c:pt>
                <c:pt idx="2">
                  <c:v>2.7895156401139038</c:v>
                </c:pt>
                <c:pt idx="3">
                  <c:v>2.6103532217011787</c:v>
                </c:pt>
                <c:pt idx="4">
                  <c:v>2.8429391343262984</c:v>
                </c:pt>
              </c:numCache>
            </c:numRef>
          </c:val>
          <c:extLst>
            <c:ext xmlns:c16="http://schemas.microsoft.com/office/drawing/2014/chart" uri="{C3380CC4-5D6E-409C-BE32-E72D297353CC}">
              <c16:uniqueId val="{00000008-2908-4239-99D5-75C4231AD1E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47629</xdr:colOff>
      <xdr:row>0</xdr:row>
      <xdr:rowOff>174626</xdr:rowOff>
    </xdr:from>
    <xdr:to>
      <xdr:col>1</xdr:col>
      <xdr:colOff>1603377</xdr:colOff>
      <xdr:row>5</xdr:row>
      <xdr:rowOff>295438</xdr:rowOff>
    </xdr:to>
    <xdr:pic>
      <xdr:nvPicPr>
        <xdr:cNvPr id="2" name="Picture 1" descr="tata-steel-logo | BBDU">
          <a:extLst>
            <a:ext uri="{FF2B5EF4-FFF2-40B4-BE49-F238E27FC236}">
              <a16:creationId xmlns:a16="http://schemas.microsoft.com/office/drawing/2014/main" id="{3E6DF052-9631-FDEB-F39C-497B68F83B93}"/>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artisticMarker/>
                  </a14:imgEffect>
                  <a14:imgEffect>
                    <a14:sharpenSoften amount="25000"/>
                  </a14:imgEffect>
                </a14:imgLayer>
              </a14:imgProps>
            </a:ext>
            <a:ext uri="{28A0092B-C50C-407E-A947-70E740481C1C}">
              <a14:useLocalDpi xmlns:a14="http://schemas.microsoft.com/office/drawing/2010/main" val="0"/>
            </a:ext>
          </a:extLst>
        </a:blip>
        <a:srcRect/>
        <a:stretch>
          <a:fillRect/>
        </a:stretch>
      </xdr:blipFill>
      <xdr:spPr bwMode="auto">
        <a:xfrm>
          <a:off x="158754" y="174626"/>
          <a:ext cx="1555748" cy="851062"/>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571500</xdr:colOff>
      <xdr:row>0</xdr:row>
      <xdr:rowOff>213360</xdr:rowOff>
    </xdr:from>
    <xdr:to>
      <xdr:col>15</xdr:col>
      <xdr:colOff>647700</xdr:colOff>
      <xdr:row>4</xdr:row>
      <xdr:rowOff>177340</xdr:rowOff>
    </xdr:to>
    <xdr:pic>
      <xdr:nvPicPr>
        <xdr:cNvPr id="2" name="Picture 1" descr="tata-steel-logo | BBDU">
          <a:extLst>
            <a:ext uri="{FF2B5EF4-FFF2-40B4-BE49-F238E27FC236}">
              <a16:creationId xmlns:a16="http://schemas.microsoft.com/office/drawing/2014/main" id="{83CCAB1B-75CB-4132-954A-5510A068D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9620" y="213360"/>
          <a:ext cx="1630680" cy="87838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3660</xdr:colOff>
      <xdr:row>17</xdr:row>
      <xdr:rowOff>117625</xdr:rowOff>
    </xdr:from>
    <xdr:to>
      <xdr:col>1</xdr:col>
      <xdr:colOff>2118359</xdr:colOff>
      <xdr:row>26</xdr:row>
      <xdr:rowOff>22860</xdr:rowOff>
    </xdr:to>
    <xdr:graphicFrame macro="">
      <xdr:nvGraphicFramePr>
        <xdr:cNvPr id="3" name="Chart 2">
          <a:extLst>
            <a:ext uri="{FF2B5EF4-FFF2-40B4-BE49-F238E27FC236}">
              <a16:creationId xmlns:a16="http://schemas.microsoft.com/office/drawing/2014/main" id="{96899D4D-9C60-4FDA-825B-BC6DBEEC95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193754</xdr:colOff>
      <xdr:row>16</xdr:row>
      <xdr:rowOff>54408</xdr:rowOff>
    </xdr:from>
    <xdr:to>
      <xdr:col>1</xdr:col>
      <xdr:colOff>1602107</xdr:colOff>
      <xdr:row>17</xdr:row>
      <xdr:rowOff>63600</xdr:rowOff>
    </xdr:to>
    <xdr:sp macro="" textlink="">
      <xdr:nvSpPr>
        <xdr:cNvPr id="4" name="TextBox 3">
          <a:extLst>
            <a:ext uri="{FF2B5EF4-FFF2-40B4-BE49-F238E27FC236}">
              <a16:creationId xmlns:a16="http://schemas.microsoft.com/office/drawing/2014/main" id="{97882AB0-8E3A-4ED5-9258-FAD7B0879398}"/>
            </a:ext>
          </a:extLst>
        </xdr:cNvPr>
        <xdr:cNvSpPr txBox="1"/>
      </xdr:nvSpPr>
      <xdr:spPr>
        <a:xfrm>
          <a:off x="323294" y="3262428"/>
          <a:ext cx="1408353" cy="192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1"/>
              </a:solidFill>
              <a:latin typeface="+mn-lt"/>
            </a:rPr>
            <a:t>Revenues (INR</a:t>
          </a:r>
          <a:r>
            <a:rPr lang="en-IN" sz="1050" b="1" baseline="0">
              <a:solidFill>
                <a:schemeClr val="accent1"/>
              </a:solidFill>
              <a:latin typeface="+mn-lt"/>
            </a:rPr>
            <a:t> Crs.)</a:t>
          </a:r>
          <a:endParaRPr lang="en-IN" sz="1050" b="1">
            <a:solidFill>
              <a:schemeClr val="accent1"/>
            </a:solidFill>
            <a:latin typeface="+mn-lt"/>
          </a:endParaRPr>
        </a:p>
      </xdr:txBody>
    </xdr:sp>
    <xdr:clientData/>
  </xdr:twoCellAnchor>
  <xdr:twoCellAnchor>
    <xdr:from>
      <xdr:col>1</xdr:col>
      <xdr:colOff>46580</xdr:colOff>
      <xdr:row>16</xdr:row>
      <xdr:rowOff>72950</xdr:rowOff>
    </xdr:from>
    <xdr:to>
      <xdr:col>1</xdr:col>
      <xdr:colOff>1981200</xdr:colOff>
      <xdr:row>16</xdr:row>
      <xdr:rowOff>76200</xdr:rowOff>
    </xdr:to>
    <xdr:cxnSp macro="">
      <xdr:nvCxnSpPr>
        <xdr:cNvPr id="5" name="Straight Connector 4">
          <a:extLst>
            <a:ext uri="{FF2B5EF4-FFF2-40B4-BE49-F238E27FC236}">
              <a16:creationId xmlns:a16="http://schemas.microsoft.com/office/drawing/2014/main" id="{7D3D8ADF-A2B5-4D0D-B8CF-C23D21A918F5}"/>
            </a:ext>
          </a:extLst>
        </xdr:cNvPr>
        <xdr:cNvCxnSpPr/>
      </xdr:nvCxnSpPr>
      <xdr:spPr>
        <a:xfrm>
          <a:off x="366620" y="3212390"/>
          <a:ext cx="1934620" cy="3250"/>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218220</xdr:colOff>
      <xdr:row>16</xdr:row>
      <xdr:rowOff>41371</xdr:rowOff>
    </xdr:from>
    <xdr:to>
      <xdr:col>4</xdr:col>
      <xdr:colOff>334012</xdr:colOff>
      <xdr:row>17</xdr:row>
      <xdr:rowOff>54373</xdr:rowOff>
    </xdr:to>
    <xdr:sp macro="" textlink="">
      <xdr:nvSpPr>
        <xdr:cNvPr id="6" name="TextBox 5">
          <a:extLst>
            <a:ext uri="{FF2B5EF4-FFF2-40B4-BE49-F238E27FC236}">
              <a16:creationId xmlns:a16="http://schemas.microsoft.com/office/drawing/2014/main" id="{86FC8B81-6D06-4DD8-96F2-B891C6EE08D5}"/>
            </a:ext>
          </a:extLst>
        </xdr:cNvPr>
        <xdr:cNvSpPr txBox="1"/>
      </xdr:nvSpPr>
      <xdr:spPr>
        <a:xfrm>
          <a:off x="2793780" y="3249391"/>
          <a:ext cx="1411192" cy="195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1"/>
              </a:solidFill>
              <a:latin typeface="+mn-lt"/>
            </a:rPr>
            <a:t>Net Profit (INR</a:t>
          </a:r>
          <a:r>
            <a:rPr lang="en-IN" sz="1050" b="1" baseline="0">
              <a:solidFill>
                <a:schemeClr val="accent1"/>
              </a:solidFill>
              <a:latin typeface="+mn-lt"/>
            </a:rPr>
            <a:t> Crs.)</a:t>
          </a:r>
          <a:endParaRPr lang="en-IN" sz="1050" b="1">
            <a:solidFill>
              <a:schemeClr val="accent1"/>
            </a:solidFill>
            <a:latin typeface="+mn-lt"/>
          </a:endParaRPr>
        </a:p>
      </xdr:txBody>
    </xdr:sp>
    <xdr:clientData/>
  </xdr:twoCellAnchor>
  <xdr:twoCellAnchor>
    <xdr:from>
      <xdr:col>5</xdr:col>
      <xdr:colOff>459268</xdr:colOff>
      <xdr:row>16</xdr:row>
      <xdr:rowOff>51507</xdr:rowOff>
    </xdr:from>
    <xdr:to>
      <xdr:col>8</xdr:col>
      <xdr:colOff>574885</xdr:colOff>
      <xdr:row>17</xdr:row>
      <xdr:rowOff>77258</xdr:rowOff>
    </xdr:to>
    <xdr:sp macro="" textlink="">
      <xdr:nvSpPr>
        <xdr:cNvPr id="7" name="TextBox 6">
          <a:extLst>
            <a:ext uri="{FF2B5EF4-FFF2-40B4-BE49-F238E27FC236}">
              <a16:creationId xmlns:a16="http://schemas.microsoft.com/office/drawing/2014/main" id="{F63DC425-AB11-4F4E-8113-18B72EE58577}"/>
            </a:ext>
          </a:extLst>
        </xdr:cNvPr>
        <xdr:cNvSpPr txBox="1"/>
      </xdr:nvSpPr>
      <xdr:spPr>
        <a:xfrm>
          <a:off x="4939828" y="3259527"/>
          <a:ext cx="1944417" cy="208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1"/>
              </a:solidFill>
              <a:latin typeface="+mn-lt"/>
            </a:rPr>
            <a:t>Average Total Assets (INR</a:t>
          </a:r>
          <a:r>
            <a:rPr lang="en-IN" sz="1050" b="1" baseline="0">
              <a:solidFill>
                <a:schemeClr val="accent1"/>
              </a:solidFill>
              <a:latin typeface="+mn-lt"/>
            </a:rPr>
            <a:t> Crs.)</a:t>
          </a:r>
          <a:endParaRPr lang="en-IN" sz="1050" b="1">
            <a:solidFill>
              <a:schemeClr val="accent1"/>
            </a:solidFill>
            <a:latin typeface="+mn-lt"/>
          </a:endParaRPr>
        </a:p>
      </xdr:txBody>
    </xdr:sp>
    <xdr:clientData/>
  </xdr:twoCellAnchor>
  <xdr:twoCellAnchor>
    <xdr:from>
      <xdr:col>1</xdr:col>
      <xdr:colOff>2211794</xdr:colOff>
      <xdr:row>17</xdr:row>
      <xdr:rowOff>129140</xdr:rowOff>
    </xdr:from>
    <xdr:to>
      <xdr:col>5</xdr:col>
      <xdr:colOff>99060</xdr:colOff>
      <xdr:row>25</xdr:row>
      <xdr:rowOff>163263</xdr:rowOff>
    </xdr:to>
    <xdr:graphicFrame macro="">
      <xdr:nvGraphicFramePr>
        <xdr:cNvPr id="8" name="Chart 7">
          <a:extLst>
            <a:ext uri="{FF2B5EF4-FFF2-40B4-BE49-F238E27FC236}">
              <a16:creationId xmlns:a16="http://schemas.microsoft.com/office/drawing/2014/main" id="{46DE220E-972B-4445-A28C-710F2D7E4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302136</xdr:colOff>
      <xdr:row>17</xdr:row>
      <xdr:rowOff>109157</xdr:rowOff>
    </xdr:from>
    <xdr:to>
      <xdr:col>9</xdr:col>
      <xdr:colOff>121920</xdr:colOff>
      <xdr:row>25</xdr:row>
      <xdr:rowOff>145185</xdr:rowOff>
    </xdr:to>
    <xdr:graphicFrame macro="">
      <xdr:nvGraphicFramePr>
        <xdr:cNvPr id="9" name="Chart 8">
          <a:extLst>
            <a:ext uri="{FF2B5EF4-FFF2-40B4-BE49-F238E27FC236}">
              <a16:creationId xmlns:a16="http://schemas.microsoft.com/office/drawing/2014/main" id="{FF2353F4-5422-442E-84F9-4728465A4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16933</xdr:colOff>
      <xdr:row>29</xdr:row>
      <xdr:rowOff>51237</xdr:rowOff>
    </xdr:from>
    <xdr:to>
      <xdr:col>1</xdr:col>
      <xdr:colOff>1951965</xdr:colOff>
      <xdr:row>37</xdr:row>
      <xdr:rowOff>83454</xdr:rowOff>
    </xdr:to>
    <xdr:graphicFrame macro="">
      <xdr:nvGraphicFramePr>
        <xdr:cNvPr id="10" name="Chart 9">
          <a:extLst>
            <a:ext uri="{FF2B5EF4-FFF2-40B4-BE49-F238E27FC236}">
              <a16:creationId xmlns:a16="http://schemas.microsoft.com/office/drawing/2014/main" id="{539684C6-5386-42FE-8C3B-5EE9731E9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219304</xdr:colOff>
      <xdr:row>27</xdr:row>
      <xdr:rowOff>180847</xdr:rowOff>
    </xdr:from>
    <xdr:to>
      <xdr:col>1</xdr:col>
      <xdr:colOff>1627657</xdr:colOff>
      <xdr:row>28</xdr:row>
      <xdr:rowOff>188135</xdr:rowOff>
    </xdr:to>
    <xdr:sp macro="" textlink="">
      <xdr:nvSpPr>
        <xdr:cNvPr id="11" name="TextBox 10">
          <a:extLst>
            <a:ext uri="{FF2B5EF4-FFF2-40B4-BE49-F238E27FC236}">
              <a16:creationId xmlns:a16="http://schemas.microsoft.com/office/drawing/2014/main" id="{3ACF43FC-BB78-4179-B8FF-E8F8007452C1}"/>
            </a:ext>
          </a:extLst>
        </xdr:cNvPr>
        <xdr:cNvSpPr txBox="1"/>
      </xdr:nvSpPr>
      <xdr:spPr>
        <a:xfrm>
          <a:off x="348844" y="5400547"/>
          <a:ext cx="1408353" cy="18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1"/>
              </a:solidFill>
              <a:latin typeface="+mn-lt"/>
            </a:rPr>
            <a:t>Return on Equity (%)</a:t>
          </a:r>
        </a:p>
      </xdr:txBody>
    </xdr:sp>
    <xdr:clientData/>
  </xdr:twoCellAnchor>
  <xdr:twoCellAnchor>
    <xdr:from>
      <xdr:col>2</xdr:col>
      <xdr:colOff>249271</xdr:colOff>
      <xdr:row>27</xdr:row>
      <xdr:rowOff>155944</xdr:rowOff>
    </xdr:from>
    <xdr:to>
      <xdr:col>4</xdr:col>
      <xdr:colOff>363158</xdr:colOff>
      <xdr:row>28</xdr:row>
      <xdr:rowOff>180377</xdr:rowOff>
    </xdr:to>
    <xdr:sp macro="" textlink="">
      <xdr:nvSpPr>
        <xdr:cNvPr id="12" name="TextBox 11">
          <a:extLst>
            <a:ext uri="{FF2B5EF4-FFF2-40B4-BE49-F238E27FC236}">
              <a16:creationId xmlns:a16="http://schemas.microsoft.com/office/drawing/2014/main" id="{2EFCCDCF-2DAC-4D32-8589-E35DDE3ED9DD}"/>
            </a:ext>
          </a:extLst>
        </xdr:cNvPr>
        <xdr:cNvSpPr txBox="1"/>
      </xdr:nvSpPr>
      <xdr:spPr>
        <a:xfrm>
          <a:off x="2824831" y="5375644"/>
          <a:ext cx="1409287" cy="207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1"/>
              </a:solidFill>
              <a:latin typeface="+mn-lt"/>
            </a:rPr>
            <a:t>Return</a:t>
          </a:r>
          <a:r>
            <a:rPr lang="en-IN" sz="1050" b="1" baseline="0">
              <a:solidFill>
                <a:schemeClr val="accent1"/>
              </a:solidFill>
              <a:latin typeface="+mn-lt"/>
            </a:rPr>
            <a:t> on Asset (%)</a:t>
          </a:r>
          <a:endParaRPr lang="en-IN" sz="1050" b="1">
            <a:solidFill>
              <a:schemeClr val="accent1"/>
            </a:solidFill>
            <a:latin typeface="+mn-lt"/>
          </a:endParaRPr>
        </a:p>
      </xdr:txBody>
    </xdr:sp>
    <xdr:clientData/>
  </xdr:twoCellAnchor>
  <xdr:twoCellAnchor>
    <xdr:from>
      <xdr:col>1</xdr:col>
      <xdr:colOff>2224219</xdr:colOff>
      <xdr:row>29</xdr:row>
      <xdr:rowOff>60411</xdr:rowOff>
    </xdr:from>
    <xdr:to>
      <xdr:col>4</xdr:col>
      <xdr:colOff>586778</xdr:colOff>
      <xdr:row>37</xdr:row>
      <xdr:rowOff>94533</xdr:rowOff>
    </xdr:to>
    <xdr:graphicFrame macro="">
      <xdr:nvGraphicFramePr>
        <xdr:cNvPr id="13" name="Chart 12">
          <a:extLst>
            <a:ext uri="{FF2B5EF4-FFF2-40B4-BE49-F238E27FC236}">
              <a16:creationId xmlns:a16="http://schemas.microsoft.com/office/drawing/2014/main" id="{D6BD49C9-2A04-4347-8546-438821F24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134310</xdr:colOff>
      <xdr:row>27</xdr:row>
      <xdr:rowOff>146136</xdr:rowOff>
    </xdr:from>
    <xdr:to>
      <xdr:col>8</xdr:col>
      <xdr:colOff>315084</xdr:colOff>
      <xdr:row>28</xdr:row>
      <xdr:rowOff>149614</xdr:rowOff>
    </xdr:to>
    <xdr:sp macro="" textlink="">
      <xdr:nvSpPr>
        <xdr:cNvPr id="14" name="TextBox 13">
          <a:extLst>
            <a:ext uri="{FF2B5EF4-FFF2-40B4-BE49-F238E27FC236}">
              <a16:creationId xmlns:a16="http://schemas.microsoft.com/office/drawing/2014/main" id="{9EFB9D1F-E006-440E-A7A2-AC4BE794E343}"/>
            </a:ext>
          </a:extLst>
        </xdr:cNvPr>
        <xdr:cNvSpPr txBox="1"/>
      </xdr:nvSpPr>
      <xdr:spPr>
        <a:xfrm>
          <a:off x="5224470" y="5365836"/>
          <a:ext cx="1399974" cy="186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1"/>
              </a:solidFill>
              <a:latin typeface="+mn-lt"/>
            </a:rPr>
            <a:t>Financial Leverage</a:t>
          </a:r>
        </a:p>
      </xdr:txBody>
    </xdr:sp>
    <xdr:clientData/>
  </xdr:twoCellAnchor>
  <xdr:twoCellAnchor>
    <xdr:from>
      <xdr:col>5</xdr:col>
      <xdr:colOff>302048</xdr:colOff>
      <xdr:row>29</xdr:row>
      <xdr:rowOff>63513</xdr:rowOff>
    </xdr:from>
    <xdr:to>
      <xdr:col>9</xdr:col>
      <xdr:colOff>38100</xdr:colOff>
      <xdr:row>37</xdr:row>
      <xdr:rowOff>101445</xdr:rowOff>
    </xdr:to>
    <xdr:graphicFrame macro="">
      <xdr:nvGraphicFramePr>
        <xdr:cNvPr id="15" name="Chart 14">
          <a:extLst>
            <a:ext uri="{FF2B5EF4-FFF2-40B4-BE49-F238E27FC236}">
              <a16:creationId xmlns:a16="http://schemas.microsoft.com/office/drawing/2014/main" id="{B860E89F-FA33-4F70-A8C4-2E96A9145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17371</xdr:colOff>
      <xdr:row>16</xdr:row>
      <xdr:rowOff>64483</xdr:rowOff>
    </xdr:from>
    <xdr:to>
      <xdr:col>4</xdr:col>
      <xdr:colOff>563880</xdr:colOff>
      <xdr:row>16</xdr:row>
      <xdr:rowOff>68580</xdr:rowOff>
    </xdr:to>
    <xdr:cxnSp macro="">
      <xdr:nvCxnSpPr>
        <xdr:cNvPr id="17" name="Straight Connector 16">
          <a:extLst>
            <a:ext uri="{FF2B5EF4-FFF2-40B4-BE49-F238E27FC236}">
              <a16:creationId xmlns:a16="http://schemas.microsoft.com/office/drawing/2014/main" id="{01BECB21-01AA-427C-B5D5-97C5DD8C6E5A}"/>
            </a:ext>
          </a:extLst>
        </xdr:cNvPr>
        <xdr:cNvCxnSpPr/>
      </xdr:nvCxnSpPr>
      <xdr:spPr>
        <a:xfrm>
          <a:off x="2730091" y="3203923"/>
          <a:ext cx="1841909" cy="4097"/>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523465</xdr:colOff>
      <xdr:row>16</xdr:row>
      <xdr:rowOff>53340</xdr:rowOff>
    </xdr:from>
    <xdr:to>
      <xdr:col>9</xdr:col>
      <xdr:colOff>7620</xdr:colOff>
      <xdr:row>16</xdr:row>
      <xdr:rowOff>64483</xdr:rowOff>
    </xdr:to>
    <xdr:cxnSp macro="">
      <xdr:nvCxnSpPr>
        <xdr:cNvPr id="18" name="Straight Connector 17">
          <a:extLst>
            <a:ext uri="{FF2B5EF4-FFF2-40B4-BE49-F238E27FC236}">
              <a16:creationId xmlns:a16="http://schemas.microsoft.com/office/drawing/2014/main" id="{7EBA063D-88CD-47B8-8929-85759A24B637}"/>
            </a:ext>
          </a:extLst>
        </xdr:cNvPr>
        <xdr:cNvCxnSpPr/>
      </xdr:nvCxnSpPr>
      <xdr:spPr>
        <a:xfrm flipV="1">
          <a:off x="5179285" y="3192780"/>
          <a:ext cx="2074955" cy="11143"/>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304800</xdr:colOff>
      <xdr:row>27</xdr:row>
      <xdr:rowOff>167640</xdr:rowOff>
    </xdr:from>
    <xdr:to>
      <xdr:col>1</xdr:col>
      <xdr:colOff>1851660</xdr:colOff>
      <xdr:row>28</xdr:row>
      <xdr:rowOff>7620</xdr:rowOff>
    </xdr:to>
    <xdr:cxnSp macro="">
      <xdr:nvCxnSpPr>
        <xdr:cNvPr id="19" name="Straight Connector 18">
          <a:extLst>
            <a:ext uri="{FF2B5EF4-FFF2-40B4-BE49-F238E27FC236}">
              <a16:creationId xmlns:a16="http://schemas.microsoft.com/office/drawing/2014/main" id="{38032B5D-515A-4765-BC9C-95D17E4C11C7}"/>
            </a:ext>
          </a:extLst>
        </xdr:cNvPr>
        <xdr:cNvCxnSpPr/>
      </xdr:nvCxnSpPr>
      <xdr:spPr>
        <a:xfrm flipV="1">
          <a:off x="304800" y="5318760"/>
          <a:ext cx="1866900" cy="22860"/>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2290037</xdr:colOff>
      <xdr:row>27</xdr:row>
      <xdr:rowOff>152400</xdr:rowOff>
    </xdr:from>
    <xdr:to>
      <xdr:col>4</xdr:col>
      <xdr:colOff>617220</xdr:colOff>
      <xdr:row>27</xdr:row>
      <xdr:rowOff>159596</xdr:rowOff>
    </xdr:to>
    <xdr:cxnSp macro="">
      <xdr:nvCxnSpPr>
        <xdr:cNvPr id="20" name="Straight Connector 19">
          <a:extLst>
            <a:ext uri="{FF2B5EF4-FFF2-40B4-BE49-F238E27FC236}">
              <a16:creationId xmlns:a16="http://schemas.microsoft.com/office/drawing/2014/main" id="{C5978C0C-9B53-484C-A9B2-0F5BC300E8CD}"/>
            </a:ext>
          </a:extLst>
        </xdr:cNvPr>
        <xdr:cNvCxnSpPr/>
      </xdr:nvCxnSpPr>
      <xdr:spPr>
        <a:xfrm flipV="1">
          <a:off x="2610077" y="5303520"/>
          <a:ext cx="2015263" cy="7196"/>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499971</xdr:colOff>
      <xdr:row>27</xdr:row>
      <xdr:rowOff>144780</xdr:rowOff>
    </xdr:from>
    <xdr:to>
      <xdr:col>8</xdr:col>
      <xdr:colOff>556260</xdr:colOff>
      <xdr:row>27</xdr:row>
      <xdr:rowOff>154304</xdr:rowOff>
    </xdr:to>
    <xdr:cxnSp macro="">
      <xdr:nvCxnSpPr>
        <xdr:cNvPr id="21" name="Straight Connector 20">
          <a:extLst>
            <a:ext uri="{FF2B5EF4-FFF2-40B4-BE49-F238E27FC236}">
              <a16:creationId xmlns:a16="http://schemas.microsoft.com/office/drawing/2014/main" id="{7B92E593-AE97-4C10-BADF-47F2BBC2740B}"/>
            </a:ext>
          </a:extLst>
        </xdr:cNvPr>
        <xdr:cNvCxnSpPr/>
      </xdr:nvCxnSpPr>
      <xdr:spPr>
        <a:xfrm flipV="1">
          <a:off x="5155791" y="5295900"/>
          <a:ext cx="1999389" cy="9524"/>
        </a:xfrm>
        <a:prstGeom prst="line">
          <a:avLst/>
        </a:prstGeom>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0</xdr:colOff>
      <xdr:row>39</xdr:row>
      <xdr:rowOff>14000</xdr:rowOff>
    </xdr:from>
    <xdr:to>
      <xdr:col>9</xdr:col>
      <xdr:colOff>304830</xdr:colOff>
      <xdr:row>41</xdr:row>
      <xdr:rowOff>91440</xdr:rowOff>
    </xdr:to>
    <xdr:sp macro="" textlink="">
      <xdr:nvSpPr>
        <xdr:cNvPr id="22" name="TextBox 21">
          <a:extLst>
            <a:ext uri="{FF2B5EF4-FFF2-40B4-BE49-F238E27FC236}">
              <a16:creationId xmlns:a16="http://schemas.microsoft.com/office/drawing/2014/main" id="{10C46892-DC28-4084-A478-56237C2D1DC7}"/>
            </a:ext>
          </a:extLst>
        </xdr:cNvPr>
        <xdr:cNvSpPr txBox="1"/>
      </xdr:nvSpPr>
      <xdr:spPr>
        <a:xfrm>
          <a:off x="320040" y="7359680"/>
          <a:ext cx="7231410" cy="336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chemeClr val="accent1"/>
              </a:solidFill>
              <a:effectLst/>
              <a:latin typeface="+mn-lt"/>
              <a:ea typeface="+mn-ea"/>
              <a:cs typeface="+mn-cs"/>
            </a:rPr>
            <a:t>Dupont Analysis - Return on Equity &amp; Return</a:t>
          </a:r>
          <a:r>
            <a:rPr lang="en-IN" sz="1800" b="1" i="0" baseline="0">
              <a:solidFill>
                <a:schemeClr val="accent1"/>
              </a:solidFill>
              <a:effectLst/>
              <a:latin typeface="+mn-lt"/>
              <a:ea typeface="+mn-ea"/>
              <a:cs typeface="+mn-cs"/>
            </a:rPr>
            <a:t> on Asset</a:t>
          </a:r>
          <a:endParaRPr lang="en-IN" sz="1800" b="1" i="0">
            <a:solidFill>
              <a:schemeClr val="accent1"/>
            </a:solidFill>
            <a:effectLst/>
            <a:latin typeface="+mn-lt"/>
            <a:ea typeface="+mn-ea"/>
            <a:cs typeface="+mn-cs"/>
          </a:endParaRPr>
        </a:p>
      </xdr:txBody>
    </xdr:sp>
    <xdr:clientData/>
  </xdr:twoCellAnchor>
  <xdr:twoCellAnchor>
    <xdr:from>
      <xdr:col>1</xdr:col>
      <xdr:colOff>0</xdr:colOff>
      <xdr:row>82</xdr:row>
      <xdr:rowOff>0</xdr:rowOff>
    </xdr:from>
    <xdr:to>
      <xdr:col>8</xdr:col>
      <xdr:colOff>633454</xdr:colOff>
      <xdr:row>95</xdr:row>
      <xdr:rowOff>45720</xdr:rowOff>
    </xdr:to>
    <xdr:sp macro="" textlink="">
      <xdr:nvSpPr>
        <xdr:cNvPr id="33" name="TextBox 32">
          <a:extLst>
            <a:ext uri="{FF2B5EF4-FFF2-40B4-BE49-F238E27FC236}">
              <a16:creationId xmlns:a16="http://schemas.microsoft.com/office/drawing/2014/main" id="{1FE89C83-C1FB-418B-9C5B-32CCAD0EF849}"/>
            </a:ext>
          </a:extLst>
        </xdr:cNvPr>
        <xdr:cNvSpPr txBox="1"/>
      </xdr:nvSpPr>
      <xdr:spPr>
        <a:xfrm>
          <a:off x="320040" y="15072360"/>
          <a:ext cx="6912334" cy="242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chemeClr val="accent1"/>
              </a:solidFill>
              <a:effectLst/>
              <a:latin typeface="+mn-lt"/>
              <a:ea typeface="+mn-ea"/>
              <a:cs typeface="+mn-cs"/>
            </a:rPr>
            <a:t>Dupont Summary </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baseline="0">
              <a:solidFill>
                <a:schemeClr val="dk1"/>
              </a:solidFill>
              <a:effectLst/>
              <a:latin typeface="+mn-lt"/>
              <a:ea typeface="+mn-ea"/>
              <a:cs typeface="+mn-cs"/>
            </a:rPr>
            <a:t>ROE has been decreased significantly in past 7 years from 27.23% to  -4.55% . While the company was also not able to  sustainable  net margins from  9.63% in FY2018  to  -2.84% in FY24. Asset efficiency of the company is constantly maintained throughout the period.  Company also able to make constant financial leverage  from 3.86x in FY2018 to 2.84x in FY2024. </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has been increased from 10.73% in FY2017 to 14.17% in FY2023. While the asset efficiency  remains constant, the reason for increase in ROA is increased net margin of the company.</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t>
          </a:r>
          <a:r>
            <a:rPr lang="en-IN" sz="1200" b="0" i="0" baseline="0">
              <a:solidFill>
                <a:schemeClr val="dk1"/>
              </a:solidFill>
              <a:effectLst/>
              <a:latin typeface="+mn-lt"/>
              <a:ea typeface="+mn-ea"/>
              <a:cs typeface="+mn-cs"/>
            </a:rPr>
            <a:t>Tata Steel </a:t>
          </a:r>
          <a:r>
            <a:rPr lang="en-IN" sz="1200" b="0" i="0">
              <a:solidFill>
                <a:schemeClr val="dk1"/>
              </a:solidFill>
              <a:effectLst/>
              <a:latin typeface="+mn-lt"/>
              <a:ea typeface="+mn-ea"/>
              <a:cs typeface="+mn-cs"/>
            </a:rPr>
            <a:t> has been decreased  from last  7 years  to</a:t>
          </a:r>
          <a:r>
            <a:rPr lang="en-IN" sz="1200" b="0" i="0" baseline="0">
              <a:solidFill>
                <a:schemeClr val="dk1"/>
              </a:solidFill>
              <a:effectLst/>
              <a:latin typeface="+mn-lt"/>
              <a:ea typeface="+mn-ea"/>
              <a:cs typeface="+mn-cs"/>
            </a:rPr>
            <a:t>  -1.60%  for FY24 and made all time low of  -1.60% in FY </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baseline="0">
              <a:solidFill>
                <a:schemeClr val="dk1"/>
              </a:solidFill>
              <a:effectLst/>
              <a:latin typeface="+mn-lt"/>
              <a:ea typeface="+mn-ea"/>
              <a:cs typeface="+mn-cs"/>
            </a:rPr>
            <a:t>Net Profit Margin  were also fluctuated 9.63% FY 2018 to -2.64% FY 2024 after COVID for FY 22 company able to secure 25.47% highest ever NPM from last 5 years but also show lowest from last 7 years -2.64% for FY 24 .</a:t>
          </a:r>
          <a:endParaRPr lang="en-IN" sz="1200" b="0" i="0">
            <a:solidFill>
              <a:schemeClr val="dk1"/>
            </a:solidFill>
            <a:effectLst/>
            <a:latin typeface="+mn-lt"/>
            <a:ea typeface="+mn-ea"/>
            <a:cs typeface="+mn-cs"/>
          </a:endParaRPr>
        </a:p>
      </xdr:txBody>
    </xdr:sp>
    <xdr:clientData/>
  </xdr:twoCellAnchor>
  <xdr:twoCellAnchor editAs="oneCell">
    <xdr:from>
      <xdr:col>6</xdr:col>
      <xdr:colOff>403860</xdr:colOff>
      <xdr:row>2</xdr:row>
      <xdr:rowOff>22860</xdr:rowOff>
    </xdr:from>
    <xdr:to>
      <xdr:col>9</xdr:col>
      <xdr:colOff>91440</xdr:colOff>
      <xdr:row>6</xdr:row>
      <xdr:rowOff>9700</xdr:rowOff>
    </xdr:to>
    <xdr:pic>
      <xdr:nvPicPr>
        <xdr:cNvPr id="35" name="Picture 34" descr="tata-steel-logo | BBDU">
          <a:extLst>
            <a:ext uri="{FF2B5EF4-FFF2-40B4-BE49-F238E27FC236}">
              <a16:creationId xmlns:a16="http://schemas.microsoft.com/office/drawing/2014/main" id="{DBF995C3-860D-4C8E-809B-7E82A85183F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07380" y="342900"/>
          <a:ext cx="1630680" cy="87838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reener.in/company/SAIL/consolidated/" TargetMode="External"/><Relationship Id="rId2" Type="http://schemas.openxmlformats.org/officeDocument/2006/relationships/hyperlink" Target="https://www.screener.in/company/JSL/consolidated/" TargetMode="External"/><Relationship Id="rId1" Type="http://schemas.openxmlformats.org/officeDocument/2006/relationships/hyperlink" Target="https://www.screener.in/company/JSWSTEEL/consolidated/"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29977-043A-424D-A8C5-923B7261CD91}">
  <dimension ref="A1:N33"/>
  <sheetViews>
    <sheetView showGridLines="0" zoomScale="96" workbookViewId="0">
      <selection activeCell="D5" sqref="D5"/>
    </sheetView>
  </sheetViews>
  <sheetFormatPr defaultRowHeight="14.4" x14ac:dyDescent="0.3"/>
  <cols>
    <col min="1" max="1" width="1.6640625" customWidth="1"/>
    <col min="2" max="2" width="27.5546875" bestFit="1" customWidth="1"/>
    <col min="4" max="4" width="13.44140625" customWidth="1"/>
    <col min="5" max="5" width="12.44140625" customWidth="1"/>
    <col min="6" max="6" width="13.88671875" customWidth="1"/>
    <col min="7" max="7" width="12.6640625" customWidth="1"/>
    <col min="8" max="8" width="15.77734375" customWidth="1"/>
    <col min="9" max="9" width="14.44140625" customWidth="1"/>
    <col min="10" max="10" width="13.5546875" customWidth="1"/>
    <col min="11" max="11" width="16.5546875" customWidth="1"/>
    <col min="12" max="13" width="8.21875" customWidth="1"/>
    <col min="14" max="14" width="9" bestFit="1" customWidth="1"/>
  </cols>
  <sheetData>
    <row r="1" spans="1:14" x14ac:dyDescent="0.3">
      <c r="A1" s="64"/>
      <c r="B1" s="162"/>
      <c r="C1" s="162"/>
      <c r="D1" s="162"/>
      <c r="E1" s="162"/>
      <c r="F1" s="162"/>
      <c r="G1" s="162"/>
      <c r="H1" s="162"/>
      <c r="I1" s="162"/>
      <c r="J1" s="162"/>
      <c r="K1" s="162"/>
    </row>
    <row r="2" spans="1:14" s="64" customFormat="1" x14ac:dyDescent="0.3"/>
    <row r="3" spans="1:14" s="64" customFormat="1" ht="10.199999999999999" customHeight="1" x14ac:dyDescent="0.3"/>
    <row r="4" spans="1:14" s="64" customFormat="1" ht="10.8" customHeight="1" x14ac:dyDescent="0.3"/>
    <row r="5" spans="1:14" s="64" customFormat="1" ht="8.4" customHeight="1" x14ac:dyDescent="0.3"/>
    <row r="6" spans="1:14" ht="25.8" customHeight="1" x14ac:dyDescent="0.4">
      <c r="A6" s="229"/>
      <c r="B6" s="229"/>
      <c r="C6" s="159"/>
      <c r="D6" s="159"/>
      <c r="E6" s="159"/>
      <c r="F6" s="159"/>
      <c r="G6" s="159"/>
      <c r="H6" s="159"/>
      <c r="I6" s="159"/>
      <c r="J6" s="159"/>
      <c r="K6" s="159"/>
      <c r="M6" s="7"/>
      <c r="N6" s="8"/>
    </row>
    <row r="7" spans="1:14" ht="15.6" x14ac:dyDescent="0.3">
      <c r="A7" s="158"/>
      <c r="B7" s="211" t="s">
        <v>314</v>
      </c>
      <c r="C7" s="161"/>
      <c r="D7" s="161"/>
      <c r="E7" s="161"/>
      <c r="F7" s="161"/>
      <c r="G7" s="161"/>
      <c r="H7" s="161"/>
      <c r="I7" s="161"/>
      <c r="J7" s="161"/>
      <c r="K7" s="161"/>
      <c r="M7" s="7"/>
      <c r="N7" s="8"/>
    </row>
    <row r="8" spans="1:14" x14ac:dyDescent="0.3">
      <c r="B8" s="181" t="s">
        <v>269</v>
      </c>
      <c r="E8" s="1" t="s">
        <v>0</v>
      </c>
      <c r="J8" s="2" t="s">
        <v>1</v>
      </c>
    </row>
    <row r="9" spans="1:14" x14ac:dyDescent="0.3">
      <c r="A9" s="64"/>
      <c r="B9" s="19"/>
      <c r="C9" s="19"/>
      <c r="D9" s="3">
        <v>44256</v>
      </c>
      <c r="E9" s="3">
        <v>44621</v>
      </c>
      <c r="F9" s="3">
        <v>44986</v>
      </c>
      <c r="G9" s="4">
        <v>45352</v>
      </c>
      <c r="H9" s="4">
        <v>45717</v>
      </c>
      <c r="I9" s="4">
        <v>46082</v>
      </c>
      <c r="J9" s="4">
        <v>46447</v>
      </c>
      <c r="K9" s="4">
        <v>46813</v>
      </c>
    </row>
    <row r="10" spans="1:14" x14ac:dyDescent="0.3">
      <c r="B10" s="65"/>
      <c r="C10" s="65"/>
      <c r="D10" s="65"/>
      <c r="E10" s="65"/>
      <c r="F10" s="65"/>
      <c r="G10" s="65"/>
      <c r="H10" s="65"/>
      <c r="I10" s="65"/>
      <c r="J10" s="65"/>
      <c r="K10" s="65"/>
    </row>
    <row r="11" spans="1:14" x14ac:dyDescent="0.3">
      <c r="B11" s="67" t="s">
        <v>2</v>
      </c>
      <c r="C11" s="81"/>
      <c r="D11" s="68">
        <v>156294.18</v>
      </c>
      <c r="E11" s="68">
        <v>233959</v>
      </c>
      <c r="F11" s="73">
        <v>243352</v>
      </c>
      <c r="G11" s="94">
        <f>F11*(1+G12)</f>
        <v>254575.01658304234</v>
      </c>
      <c r="H11" s="94">
        <f t="shared" ref="H11:K11" si="0">G11*(1+H12)</f>
        <v>267835.53289142012</v>
      </c>
      <c r="I11" s="94">
        <f t="shared" si="0"/>
        <v>283385.85610467062</v>
      </c>
      <c r="J11" s="94">
        <f t="shared" si="0"/>
        <v>301530.94252471958</v>
      </c>
      <c r="K11" s="94">
        <f t="shared" si="0"/>
        <v>322638.10850144998</v>
      </c>
    </row>
    <row r="12" spans="1:14" x14ac:dyDescent="0.3">
      <c r="B12" s="74" t="s">
        <v>3</v>
      </c>
      <c r="C12" s="65"/>
      <c r="D12" s="90" t="s">
        <v>210</v>
      </c>
      <c r="E12" s="82">
        <f>E11/D11-1</f>
        <v>0.49691434447527105</v>
      </c>
      <c r="F12" s="82">
        <f>F11/E11-1</f>
        <v>4.0148060130193786E-2</v>
      </c>
      <c r="G12" s="76">
        <f>F12-($L$12)</f>
        <v>4.6118448104155031E-2</v>
      </c>
      <c r="H12" s="76">
        <f>G12-($L$12)</f>
        <v>5.2088836078116277E-2</v>
      </c>
      <c r="I12" s="76">
        <f>H12-($L$12)</f>
        <v>5.8059224052077522E-2</v>
      </c>
      <c r="J12" s="76">
        <f>I12-($L$12)</f>
        <v>6.4029612026038768E-2</v>
      </c>
      <c r="K12" s="83">
        <v>7.0000000000000007E-2</v>
      </c>
      <c r="L12" s="32">
        <f>(F12-K12)/5</f>
        <v>-5.9703879739612439E-3</v>
      </c>
    </row>
    <row r="13" spans="1:14" x14ac:dyDescent="0.3">
      <c r="B13" s="65" t="s">
        <v>4</v>
      </c>
      <c r="C13" s="65"/>
      <c r="D13" s="119">
        <f>56940.15+601.1+2112.19</f>
        <v>59653.440000000002</v>
      </c>
      <c r="E13" s="66">
        <f>75763+15312-7579+1057+2866</f>
        <v>87419</v>
      </c>
      <c r="F13" s="72">
        <f>101483+15114-3358+1466+3092</f>
        <v>117797</v>
      </c>
      <c r="G13" s="94">
        <f>G11-G14</f>
        <v>105172.16610890778</v>
      </c>
      <c r="H13" s="94">
        <f t="shared" ref="H13:K13" si="1">H11-H14</f>
        <v>113458.65406236399</v>
      </c>
      <c r="I13" s="94">
        <f t="shared" si="1"/>
        <v>124765.50357648876</v>
      </c>
      <c r="J13" s="94">
        <f t="shared" si="1"/>
        <v>128352.5517192675</v>
      </c>
      <c r="K13" s="94">
        <f t="shared" si="1"/>
        <v>138685.98661144069</v>
      </c>
    </row>
    <row r="14" spans="1:14" x14ac:dyDescent="0.3">
      <c r="B14" s="79" t="s">
        <v>5</v>
      </c>
      <c r="C14" s="18"/>
      <c r="D14" s="25">
        <f>D11-D13</f>
        <v>96640.739999999991</v>
      </c>
      <c r="E14" s="80">
        <f>E11-E13</f>
        <v>146540</v>
      </c>
      <c r="F14" s="80">
        <f>F11-F13</f>
        <v>125555</v>
      </c>
      <c r="G14" s="31">
        <f>G11*G15</f>
        <v>149402.85047413455</v>
      </c>
      <c r="H14" s="31">
        <f t="shared" ref="H14:K14" si="2">H11*H15</f>
        <v>154376.87882905614</v>
      </c>
      <c r="I14" s="31">
        <f t="shared" si="2"/>
        <v>158620.35252818186</v>
      </c>
      <c r="J14" s="31">
        <f t="shared" si="2"/>
        <v>173178.39080545207</v>
      </c>
      <c r="K14" s="31">
        <f t="shared" si="2"/>
        <v>183952.12189000929</v>
      </c>
    </row>
    <row r="15" spans="1:14" x14ac:dyDescent="0.3">
      <c r="B15" s="5" t="s">
        <v>6</v>
      </c>
      <c r="D15" s="29">
        <f>D14/D11</f>
        <v>0.61832590311424263</v>
      </c>
      <c r="E15" s="29">
        <f>E14/E11</f>
        <v>0.62634906116028877</v>
      </c>
      <c r="F15" s="29">
        <f>F14/F11</f>
        <v>0.51593987310562472</v>
      </c>
      <c r="G15" s="9">
        <f>AVERAGE(D15:F$15)</f>
        <v>0.58687161246005204</v>
      </c>
      <c r="H15" s="9">
        <f>AVERAGE(E15:G$15)</f>
        <v>0.57638684890865521</v>
      </c>
      <c r="I15" s="9">
        <f>AVERAGE(F15:H$15)</f>
        <v>0.55973277815811062</v>
      </c>
      <c r="J15" s="9">
        <f>AVERAGE(G15:I$15)</f>
        <v>0.57433041317560596</v>
      </c>
      <c r="K15" s="9">
        <f>AVERAGE(H15:J$15)</f>
        <v>0.57015001341412397</v>
      </c>
      <c r="L15" s="36"/>
    </row>
    <row r="16" spans="1:14" ht="4.2" customHeight="1" x14ac:dyDescent="0.3">
      <c r="B16" s="5"/>
      <c r="D16" s="1"/>
      <c r="E16" s="1"/>
      <c r="F16" s="1"/>
    </row>
    <row r="17" spans="2:13" x14ac:dyDescent="0.3">
      <c r="B17" s="91" t="s">
        <v>126</v>
      </c>
      <c r="C17" s="65"/>
      <c r="D17" s="72">
        <f>19908+34.28+7469+5186+8847+10868.31+171.25+2248</f>
        <v>54731.839999999997</v>
      </c>
      <c r="E17" s="72">
        <f>23264+40.52+15985+9571+320+6971+12148+2672</f>
        <v>70971.520000000004</v>
      </c>
      <c r="F17" s="72">
        <f>22419+37.82+11583+338+8059+12467+2923+21475</f>
        <v>79301.820000000007</v>
      </c>
      <c r="G17" s="69">
        <f>G14-G22-G18</f>
        <v>74369.338579836869</v>
      </c>
      <c r="H17" s="69">
        <f>H14-H22-H18</f>
        <v>75427.884973553708</v>
      </c>
      <c r="I17" s="69">
        <f>I14-I22-I18</f>
        <v>75091.974265252298</v>
      </c>
      <c r="J17" s="69">
        <f>J14-J22-J18</f>
        <v>84317.709758810641</v>
      </c>
      <c r="K17" s="69">
        <f>K14-K22-K18</f>
        <v>88899.049317638201</v>
      </c>
      <c r="M17" s="42"/>
    </row>
    <row r="18" spans="2:13" x14ac:dyDescent="0.3">
      <c r="B18" s="65" t="s">
        <v>7</v>
      </c>
      <c r="C18" s="65"/>
      <c r="D18" s="72">
        <v>9233.64</v>
      </c>
      <c r="E18" s="72">
        <v>9100.8700000000008</v>
      </c>
      <c r="F18" s="72">
        <v>9335</v>
      </c>
      <c r="G18" s="69">
        <f>SUM(G19:G20)</f>
        <v>8741.5886803639351</v>
      </c>
      <c r="H18" s="69">
        <f t="shared" ref="H18:K18" si="3">SUM(H19:H20)</f>
        <v>9204.0015199750251</v>
      </c>
      <c r="I18" s="69">
        <f t="shared" si="3"/>
        <v>9734.0457908833523</v>
      </c>
      <c r="J18" s="69">
        <f t="shared" si="3"/>
        <v>10341.32609668958</v>
      </c>
      <c r="K18" s="69">
        <f t="shared" si="3"/>
        <v>11037.362775922593</v>
      </c>
    </row>
    <row r="19" spans="2:13" x14ac:dyDescent="0.3">
      <c r="B19" s="65" t="s">
        <v>8</v>
      </c>
      <c r="C19" s="65"/>
      <c r="D19" s="72">
        <v>284.81</v>
      </c>
      <c r="E19" s="72">
        <v>275</v>
      </c>
      <c r="F19" s="72">
        <v>427.46</v>
      </c>
      <c r="G19" s="70">
        <f>'Fixed Assets'!G20</f>
        <v>876.78249180131229</v>
      </c>
      <c r="H19" s="70">
        <f>'Fixed Assets'!H20</f>
        <v>929.52673107021133</v>
      </c>
      <c r="I19" s="70">
        <f>'Fixed Assets'!I20</f>
        <v>979.16141629624929</v>
      </c>
      <c r="J19" s="70">
        <f>'Fixed Assets'!J20</f>
        <v>1025.8698722648339</v>
      </c>
      <c r="K19" s="70">
        <f>'Fixed Assets'!K20</f>
        <v>1069.8246157881135</v>
      </c>
    </row>
    <row r="20" spans="2:13" x14ac:dyDescent="0.3">
      <c r="B20" s="65" t="s">
        <v>9</v>
      </c>
      <c r="C20" s="65"/>
      <c r="D20" s="72">
        <v>7656.72</v>
      </c>
      <c r="E20" s="72">
        <v>7731</v>
      </c>
      <c r="F20" s="72">
        <v>7915</v>
      </c>
      <c r="G20" s="71">
        <f>'Fixed Assets'!G9</f>
        <v>7864.8061885626221</v>
      </c>
      <c r="H20" s="71">
        <f>'Fixed Assets'!H9</f>
        <v>8274.474788904814</v>
      </c>
      <c r="I20" s="71">
        <f>'Fixed Assets'!I9</f>
        <v>8754.8843745871036</v>
      </c>
      <c r="J20" s="71">
        <f>'Fixed Assets'!J9</f>
        <v>9315.4562244247463</v>
      </c>
      <c r="K20" s="71">
        <f>'Fixed Assets'!K9</f>
        <v>9967.5381601344798</v>
      </c>
    </row>
    <row r="21" spans="2:13" x14ac:dyDescent="0.3">
      <c r="B21" s="65"/>
      <c r="C21" s="100"/>
      <c r="D21" s="101"/>
      <c r="E21" s="101"/>
      <c r="F21" s="101"/>
      <c r="H21" s="65"/>
      <c r="I21" s="65"/>
      <c r="J21" s="65"/>
      <c r="K21" s="65"/>
    </row>
    <row r="22" spans="2:13" x14ac:dyDescent="0.3">
      <c r="B22" s="67" t="s">
        <v>10</v>
      </c>
      <c r="C22" s="65"/>
      <c r="D22" s="68">
        <f>D14-D17</f>
        <v>41908.899999999994</v>
      </c>
      <c r="E22" s="68">
        <f>E14-E17</f>
        <v>75568.479999999996</v>
      </c>
      <c r="F22" s="68">
        <f>F14-F17</f>
        <v>46253.179999999993</v>
      </c>
      <c r="G22" s="94">
        <f>G11*G23</f>
        <v>66291.923213933755</v>
      </c>
      <c r="H22" s="94">
        <f>H11*H23</f>
        <v>69744.992335527408</v>
      </c>
      <c r="I22" s="94">
        <f>I11*I23</f>
        <v>73794.332472046211</v>
      </c>
      <c r="J22" s="94">
        <f>J11*J23</f>
        <v>78519.354949951856</v>
      </c>
      <c r="K22" s="94">
        <f>K11*K23</f>
        <v>84015.7097964485</v>
      </c>
    </row>
    <row r="23" spans="2:13" x14ac:dyDescent="0.3">
      <c r="B23" s="74" t="s">
        <v>11</v>
      </c>
      <c r="C23" s="65"/>
      <c r="D23" s="75">
        <f>D22/D11</f>
        <v>0.26814114255566007</v>
      </c>
      <c r="E23" s="75">
        <f>E22/E11</f>
        <v>0.32299881603186881</v>
      </c>
      <c r="F23" s="75">
        <f>F22/F11</f>
        <v>0.19006698116308884</v>
      </c>
      <c r="G23" s="76">
        <f>AVERAGE($D23:$F$23)</f>
        <v>0.26040231325020591</v>
      </c>
      <c r="H23" s="76">
        <f>AVERAGE($D23:$F$23)</f>
        <v>0.26040231325020591</v>
      </c>
      <c r="I23" s="76">
        <f>AVERAGE($D23:$F$23)</f>
        <v>0.26040231325020591</v>
      </c>
      <c r="J23" s="76">
        <f>AVERAGE($D23:$F$23)</f>
        <v>0.26040231325020591</v>
      </c>
      <c r="K23" s="76">
        <f>AVERAGE($D23:$F$23)</f>
        <v>0.26040231325020591</v>
      </c>
      <c r="L23" s="36"/>
    </row>
    <row r="24" spans="2:13" x14ac:dyDescent="0.3">
      <c r="B24" s="65" t="s">
        <v>12</v>
      </c>
      <c r="C24" s="65"/>
      <c r="D24" s="66">
        <v>7766</v>
      </c>
      <c r="E24" s="66">
        <v>5663</v>
      </c>
      <c r="F24" s="66">
        <v>6589</v>
      </c>
      <c r="G24" s="71">
        <f>'Debt Schdule'!G9</f>
        <v>6932.6986980184311</v>
      </c>
      <c r="H24" s="71">
        <f>'Debt Schdule'!H9</f>
        <v>7019.883450046932</v>
      </c>
      <c r="I24" s="71">
        <f>'Debt Schdule'!I9</f>
        <v>7045.7437396482683</v>
      </c>
      <c r="J24" s="71">
        <f>'Debt Schdule'!J9</f>
        <v>7182.1540481649427</v>
      </c>
      <c r="K24" s="71">
        <f>'Debt Schdule'!K9</f>
        <v>7277.9346878016486</v>
      </c>
    </row>
    <row r="25" spans="2:13" x14ac:dyDescent="0.3">
      <c r="B25" s="65" t="s">
        <v>13</v>
      </c>
      <c r="C25" s="65"/>
      <c r="D25" s="77">
        <v>0.40799999999999997</v>
      </c>
      <c r="E25" s="77">
        <v>0.16900000000000001</v>
      </c>
      <c r="F25" s="77">
        <v>0.55700000000000005</v>
      </c>
      <c r="G25" s="78">
        <v>0.32800000000000001</v>
      </c>
      <c r="H25" s="78">
        <v>0.64</v>
      </c>
      <c r="I25" s="78">
        <v>0.3</v>
      </c>
      <c r="J25" s="78">
        <f>AVERAGE(D25:I25)</f>
        <v>0.40033333333333326</v>
      </c>
      <c r="K25" s="78">
        <f t="shared" ref="K25" si="4">J25+$M$25</f>
        <v>0.40033333333333326</v>
      </c>
      <c r="L25" s="36"/>
      <c r="M25" s="32"/>
    </row>
    <row r="26" spans="2:13" x14ac:dyDescent="0.3">
      <c r="B26" s="65" t="s">
        <v>14</v>
      </c>
      <c r="C26" s="65"/>
      <c r="D26" s="68">
        <f>D22-D24-D18</f>
        <v>24909.259999999995</v>
      </c>
      <c r="E26" s="68">
        <f>E22-E24-E18</f>
        <v>60804.609999999993</v>
      </c>
      <c r="F26" s="68">
        <f>F22-F24-F18</f>
        <v>30329.179999999993</v>
      </c>
      <c r="G26" s="69">
        <f>G22-G24</f>
        <v>59359.224515915324</v>
      </c>
      <c r="H26" s="69">
        <f>H22-H24</f>
        <v>62725.108885480477</v>
      </c>
      <c r="I26" s="69">
        <f>I22-I24</f>
        <v>66748.58873239794</v>
      </c>
      <c r="J26" s="69">
        <f>J22-J24</f>
        <v>71337.200901786913</v>
      </c>
      <c r="K26" s="69">
        <f>K22-K24</f>
        <v>76737.775108646849</v>
      </c>
    </row>
    <row r="27" spans="2:13" x14ac:dyDescent="0.3">
      <c r="B27" s="65" t="s">
        <v>15</v>
      </c>
      <c r="C27" s="65"/>
      <c r="D27" s="72">
        <f>D25*D26</f>
        <v>10162.978079999997</v>
      </c>
      <c r="E27" s="72">
        <f t="shared" ref="E27:F27" si="5">E25*E26</f>
        <v>10275.979089999999</v>
      </c>
      <c r="F27" s="72">
        <f t="shared" si="5"/>
        <v>16893.353259999996</v>
      </c>
      <c r="G27" s="94">
        <f>G26*G25</f>
        <v>19469.825641220228</v>
      </c>
      <c r="H27" s="94">
        <f t="shared" ref="H27:K27" si="6">H26*H25</f>
        <v>40144.069686707509</v>
      </c>
      <c r="I27" s="94">
        <f t="shared" si="6"/>
        <v>20024.576619719381</v>
      </c>
      <c r="J27" s="94">
        <f t="shared" si="6"/>
        <v>28558.659427682021</v>
      </c>
      <c r="K27" s="94">
        <f t="shared" si="6"/>
        <v>30720.689301828283</v>
      </c>
    </row>
    <row r="28" spans="2:13" ht="15" thickBot="1" x14ac:dyDescent="0.35">
      <c r="B28" s="84"/>
      <c r="C28" s="84"/>
      <c r="D28" s="85"/>
      <c r="E28" s="85"/>
      <c r="F28" s="85"/>
      <c r="G28" s="84"/>
      <c r="H28" s="84"/>
      <c r="I28" s="84"/>
      <c r="J28" s="84"/>
      <c r="K28" s="84"/>
    </row>
    <row r="29" spans="2:13" ht="15" thickBot="1" x14ac:dyDescent="0.35">
      <c r="B29" s="86" t="s">
        <v>127</v>
      </c>
      <c r="C29" s="87"/>
      <c r="D29" s="88">
        <f>D26-D27</f>
        <v>14746.281919999998</v>
      </c>
      <c r="E29" s="88">
        <f>E26-E27</f>
        <v>50528.630909999993</v>
      </c>
      <c r="F29" s="88">
        <f>F26-F27</f>
        <v>13435.826739999997</v>
      </c>
      <c r="G29" s="89">
        <f>G22-G27</f>
        <v>46822.097572713523</v>
      </c>
      <c r="H29" s="89">
        <f>H22-H27</f>
        <v>29600.922648819898</v>
      </c>
      <c r="I29" s="89">
        <f>I22-I27</f>
        <v>53769.755852326831</v>
      </c>
      <c r="J29" s="89">
        <f>J22-J27</f>
        <v>49960.695522269831</v>
      </c>
      <c r="K29" s="89">
        <f>K22-K27</f>
        <v>53295.020494620214</v>
      </c>
    </row>
    <row r="30" spans="2:13" ht="15" thickTop="1" x14ac:dyDescent="0.3">
      <c r="G30" s="2"/>
      <c r="H30" s="2"/>
      <c r="I30" s="2"/>
      <c r="J30" s="2"/>
      <c r="K30" s="2"/>
    </row>
    <row r="33" spans="2:4" x14ac:dyDescent="0.3">
      <c r="B33" s="11"/>
      <c r="C33" s="11"/>
      <c r="D33" s="11"/>
    </row>
  </sheetData>
  <mergeCells count="1">
    <mergeCell ref="A6:B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777DB-1AEE-4186-AC17-3BE8C4D8B276}">
  <dimension ref="B2:L62"/>
  <sheetViews>
    <sheetView showGridLines="0" zoomScale="96" workbookViewId="0">
      <selection activeCell="B2" sqref="B2"/>
    </sheetView>
  </sheetViews>
  <sheetFormatPr defaultRowHeight="14.4" x14ac:dyDescent="0.3"/>
  <cols>
    <col min="1" max="1" width="1.88671875" customWidth="1"/>
    <col min="2" max="2" width="19.5546875" bestFit="1" customWidth="1"/>
    <col min="3" max="3" width="11" bestFit="1" customWidth="1"/>
    <col min="4" max="4" width="11.21875" customWidth="1"/>
    <col min="5" max="5" width="16.109375" bestFit="1" customWidth="1"/>
    <col min="6" max="6" width="12.44140625" customWidth="1"/>
    <col min="7" max="7" width="9.33203125" customWidth="1"/>
    <col min="8" max="8" width="8.77734375" customWidth="1"/>
    <col min="10" max="10" width="8.88671875" customWidth="1"/>
    <col min="11" max="11" width="7.109375" bestFit="1" customWidth="1"/>
    <col min="12" max="12" width="13" customWidth="1"/>
    <col min="13" max="13" width="14.77734375" customWidth="1"/>
    <col min="14" max="14" width="12.5546875" customWidth="1"/>
    <col min="15" max="15" width="15.5546875" customWidth="1"/>
  </cols>
  <sheetData>
    <row r="2" spans="2:12" ht="18" x14ac:dyDescent="0.35">
      <c r="B2" s="163" t="s">
        <v>244</v>
      </c>
      <c r="C2" s="163"/>
      <c r="D2" s="163"/>
      <c r="E2" s="163"/>
      <c r="F2" s="164"/>
      <c r="G2" s="164"/>
      <c r="H2" s="164"/>
      <c r="I2" s="164"/>
      <c r="J2" s="164"/>
    </row>
    <row r="3" spans="2:12" x14ac:dyDescent="0.3">
      <c r="B3" s="2"/>
    </row>
    <row r="4" spans="2:12" x14ac:dyDescent="0.3">
      <c r="B4" s="40"/>
      <c r="C4" s="40"/>
      <c r="D4" s="40"/>
      <c r="E4" s="40"/>
      <c r="F4" s="40"/>
      <c r="G4" s="40" t="s">
        <v>220</v>
      </c>
      <c r="H4" s="40" t="s">
        <v>220</v>
      </c>
      <c r="I4" s="40" t="s">
        <v>221</v>
      </c>
      <c r="J4" s="40" t="s">
        <v>222</v>
      </c>
    </row>
    <row r="5" spans="2:12" ht="16.2" x14ac:dyDescent="0.3">
      <c r="B5" s="40" t="s">
        <v>223</v>
      </c>
      <c r="C5" s="40" t="s">
        <v>224</v>
      </c>
      <c r="D5" s="40" t="s">
        <v>132</v>
      </c>
      <c r="E5" s="40" t="s">
        <v>133</v>
      </c>
      <c r="F5" s="40" t="s">
        <v>249</v>
      </c>
      <c r="G5" s="40" t="s">
        <v>225</v>
      </c>
      <c r="H5" s="40" t="s">
        <v>226</v>
      </c>
      <c r="I5" s="40" t="s">
        <v>250</v>
      </c>
      <c r="J5" s="40" t="s">
        <v>251</v>
      </c>
    </row>
    <row r="6" spans="2:12" x14ac:dyDescent="0.3">
      <c r="B6" s="126" t="s">
        <v>227</v>
      </c>
      <c r="C6" s="126" t="s">
        <v>228</v>
      </c>
      <c r="D6" s="127">
        <v>67809</v>
      </c>
      <c r="E6" s="127">
        <v>160975.07</v>
      </c>
      <c r="F6" s="120">
        <v>0.25169999999999998</v>
      </c>
      <c r="G6" s="132">
        <f>D6/E6</f>
        <v>0.4212391397003275</v>
      </c>
      <c r="H6" s="132">
        <f>D6/SUM(D6:E6)</f>
        <v>0.2963886427931805</v>
      </c>
      <c r="I6" s="133">
        <v>1.44</v>
      </c>
      <c r="J6" s="13">
        <f>I6/1+(1-F6)*G6</f>
        <v>1.7552132482377549</v>
      </c>
    </row>
    <row r="7" spans="2:12" x14ac:dyDescent="0.3">
      <c r="B7" s="129" t="s">
        <v>229</v>
      </c>
      <c r="C7" s="126" t="s">
        <v>228</v>
      </c>
      <c r="D7" s="127">
        <v>95258</v>
      </c>
      <c r="E7" s="127">
        <v>226057.8</v>
      </c>
      <c r="F7" s="120">
        <v>0.25169999999999998</v>
      </c>
      <c r="G7" s="132">
        <f t="shared" ref="G7:G9" si="0">D7/E7</f>
        <v>0.4213878043580005</v>
      </c>
      <c r="H7" s="132">
        <f t="shared" ref="H7:H9" si="1">D7/SUM(D7:E7)</f>
        <v>0.29646223435013158</v>
      </c>
      <c r="I7" s="133">
        <v>1.1200000000000001</v>
      </c>
      <c r="J7" s="13">
        <f t="shared" ref="J7:J9" si="2">I7/1+(1-F7)*G7</f>
        <v>1.4353244940010919</v>
      </c>
    </row>
    <row r="8" spans="2:12" x14ac:dyDescent="0.3">
      <c r="B8" s="130" t="s">
        <v>231</v>
      </c>
      <c r="C8" s="126" t="s">
        <v>228</v>
      </c>
      <c r="D8" s="127">
        <v>6473.08</v>
      </c>
      <c r="E8" s="127">
        <v>50785.38</v>
      </c>
      <c r="F8" s="120">
        <v>0.25169999999999998</v>
      </c>
      <c r="G8" s="132">
        <f t="shared" si="0"/>
        <v>0.12745951689245999</v>
      </c>
      <c r="H8" s="132">
        <f t="shared" si="1"/>
        <v>0.11305019380542194</v>
      </c>
      <c r="I8" s="133">
        <v>1.21</v>
      </c>
      <c r="J8" s="13">
        <f t="shared" si="2"/>
        <v>1.3053779564906278</v>
      </c>
    </row>
    <row r="9" spans="2:12" x14ac:dyDescent="0.3">
      <c r="B9" s="130" t="s">
        <v>230</v>
      </c>
      <c r="C9" s="126" t="s">
        <v>228</v>
      </c>
      <c r="D9" s="127">
        <v>41265.03</v>
      </c>
      <c r="E9" s="127">
        <v>44465.09</v>
      </c>
      <c r="F9" s="120">
        <v>0.25169999999999998</v>
      </c>
      <c r="G9" s="132">
        <f t="shared" si="0"/>
        <v>0.92803208089762113</v>
      </c>
      <c r="H9" s="132">
        <f t="shared" si="1"/>
        <v>0.48133643111662505</v>
      </c>
      <c r="I9" s="133">
        <v>2.08</v>
      </c>
      <c r="J9" s="13">
        <f t="shared" si="2"/>
        <v>2.7744464061356897</v>
      </c>
      <c r="L9" s="13"/>
    </row>
    <row r="10" spans="2:12" x14ac:dyDescent="0.3">
      <c r="F10" s="131"/>
    </row>
    <row r="11" spans="2:12" x14ac:dyDescent="0.3">
      <c r="E11" s="134" t="s">
        <v>232</v>
      </c>
      <c r="F11" s="135">
        <f>AVERAGE(F6:F9)</f>
        <v>0.25169999999999998</v>
      </c>
      <c r="G11" s="135">
        <f t="shared" ref="G11:J11" si="3">AVERAGE(G6:G9)</f>
        <v>0.47452963546210225</v>
      </c>
      <c r="H11" s="135">
        <f>AVERAGE(H6:H9)</f>
        <v>0.29680937551633979</v>
      </c>
      <c r="I11" s="138">
        <f t="shared" si="3"/>
        <v>1.4624999999999999</v>
      </c>
      <c r="J11" s="138">
        <f t="shared" si="3"/>
        <v>1.817590526216291</v>
      </c>
    </row>
    <row r="12" spans="2:12" x14ac:dyDescent="0.3">
      <c r="E12" s="79" t="s">
        <v>233</v>
      </c>
      <c r="F12" s="136">
        <f>MEDIAN(F6:F9)</f>
        <v>0.25169999999999998</v>
      </c>
      <c r="G12" s="136">
        <f t="shared" ref="G12:J12" si="4">MEDIAN(G6:G9)</f>
        <v>0.42131347202916403</v>
      </c>
      <c r="H12" s="136">
        <f t="shared" si="4"/>
        <v>0.29642543857165604</v>
      </c>
      <c r="I12" s="137">
        <f t="shared" si="4"/>
        <v>1.325</v>
      </c>
      <c r="J12" s="137">
        <f t="shared" si="4"/>
        <v>1.5952688711194234</v>
      </c>
    </row>
    <row r="15" spans="2:12" x14ac:dyDescent="0.3">
      <c r="B15" s="139" t="s">
        <v>128</v>
      </c>
      <c r="C15" s="140"/>
      <c r="D15" s="140"/>
      <c r="E15" s="140"/>
      <c r="G15" s="79" t="s">
        <v>135</v>
      </c>
      <c r="H15" s="18"/>
      <c r="I15" s="18"/>
      <c r="J15" s="18"/>
    </row>
    <row r="16" spans="2:12" x14ac:dyDescent="0.3">
      <c r="B16" t="s">
        <v>129</v>
      </c>
      <c r="E16" s="11">
        <v>6.7900000000000002E-2</v>
      </c>
      <c r="G16" s="13"/>
    </row>
    <row r="17" spans="2:11" x14ac:dyDescent="0.3">
      <c r="B17" t="s">
        <v>130</v>
      </c>
      <c r="E17" s="11">
        <f>F17-E16</f>
        <v>8.7845833333333331E-2</v>
      </c>
      <c r="F17" s="168">
        <f>G41</f>
        <v>0.15574583333333333</v>
      </c>
      <c r="G17" t="s">
        <v>136</v>
      </c>
      <c r="J17" s="154">
        <v>7.4200000000000002E-2</v>
      </c>
    </row>
    <row r="18" spans="2:11" x14ac:dyDescent="0.3">
      <c r="B18" t="s">
        <v>131</v>
      </c>
      <c r="E18" s="13">
        <f>E35</f>
        <v>1.8273167993701001</v>
      </c>
      <c r="G18" t="s">
        <v>137</v>
      </c>
      <c r="J18" s="11">
        <f>F11</f>
        <v>0.25169999999999998</v>
      </c>
    </row>
    <row r="19" spans="2:11" x14ac:dyDescent="0.3">
      <c r="B19" s="17" t="s">
        <v>134</v>
      </c>
      <c r="C19" s="17"/>
      <c r="D19" s="17"/>
      <c r="E19" s="125">
        <f>E16+E17*E18</f>
        <v>0.22842216700466589</v>
      </c>
      <c r="G19" s="145" t="s">
        <v>138</v>
      </c>
      <c r="H19" s="145"/>
      <c r="I19" s="145"/>
      <c r="J19" s="155">
        <f>J17*(1-J18)</f>
        <v>5.5523860000000001E-2</v>
      </c>
      <c r="K19" s="144"/>
    </row>
    <row r="20" spans="2:11" x14ac:dyDescent="0.3">
      <c r="K20" s="141"/>
    </row>
    <row r="21" spans="2:11" x14ac:dyDescent="0.3">
      <c r="K21" s="143"/>
    </row>
    <row r="22" spans="2:11" x14ac:dyDescent="0.3">
      <c r="B22" s="79" t="s">
        <v>238</v>
      </c>
      <c r="C22" s="18"/>
      <c r="D22" s="18"/>
      <c r="E22" s="18"/>
      <c r="K22" s="143"/>
    </row>
    <row r="23" spans="2:11" x14ac:dyDescent="0.3">
      <c r="G23" s="79" t="s">
        <v>244</v>
      </c>
      <c r="H23" s="18"/>
      <c r="I23" s="18"/>
      <c r="J23" s="18"/>
      <c r="K23" s="142"/>
    </row>
    <row r="24" spans="2:11" x14ac:dyDescent="0.3">
      <c r="D24" s="146" t="s">
        <v>239</v>
      </c>
      <c r="E24" s="146" t="s">
        <v>240</v>
      </c>
    </row>
    <row r="25" spans="2:11" x14ac:dyDescent="0.3">
      <c r="B25" t="s">
        <v>132</v>
      </c>
      <c r="C25" s="147">
        <f>D6</f>
        <v>67809</v>
      </c>
      <c r="D25" s="148">
        <f>C25/$C$27</f>
        <v>0.2963886427931805</v>
      </c>
      <c r="E25" s="151">
        <f>H11</f>
        <v>0.29680937551633979</v>
      </c>
      <c r="G25" t="s">
        <v>134</v>
      </c>
      <c r="J25" s="156">
        <f>E19</f>
        <v>0.22842216700466589</v>
      </c>
    </row>
    <row r="26" spans="2:11" x14ac:dyDescent="0.3">
      <c r="B26" t="s">
        <v>241</v>
      </c>
      <c r="C26" s="147">
        <f>E6</f>
        <v>160975.07</v>
      </c>
      <c r="D26" s="148">
        <f>C26/$C$27</f>
        <v>0.70361135720681955</v>
      </c>
      <c r="E26" s="150">
        <f>E27-E25</f>
        <v>0.70319062448366021</v>
      </c>
      <c r="G26" t="s">
        <v>245</v>
      </c>
      <c r="J26" s="11">
        <f>E26</f>
        <v>0.70319062448366021</v>
      </c>
    </row>
    <row r="27" spans="2:11" x14ac:dyDescent="0.3">
      <c r="B27" t="s">
        <v>242</v>
      </c>
      <c r="C27" s="30">
        <f>SUM(C25:C26)</f>
        <v>228784.07</v>
      </c>
      <c r="D27" s="152">
        <f>C27/$C$27</f>
        <v>1</v>
      </c>
      <c r="E27" s="11">
        <f>D27</f>
        <v>1</v>
      </c>
      <c r="J27" s="156"/>
    </row>
    <row r="28" spans="2:11" x14ac:dyDescent="0.3">
      <c r="G28" t="s">
        <v>135</v>
      </c>
      <c r="J28" s="11">
        <f>J19</f>
        <v>5.5523860000000001E-2</v>
      </c>
    </row>
    <row r="29" spans="2:11" x14ac:dyDescent="0.3">
      <c r="B29" t="s">
        <v>243</v>
      </c>
      <c r="D29" s="149">
        <f>D25/D26</f>
        <v>0.4212391397003275</v>
      </c>
      <c r="E29" s="149">
        <f>E25/E26</f>
        <v>0.42208949491367492</v>
      </c>
      <c r="G29" t="s">
        <v>246</v>
      </c>
      <c r="J29" s="11">
        <f>E25</f>
        <v>0.29680937551633979</v>
      </c>
    </row>
    <row r="31" spans="2:11" x14ac:dyDescent="0.3">
      <c r="B31" s="79" t="s">
        <v>234</v>
      </c>
      <c r="G31" s="44" t="s">
        <v>139</v>
      </c>
      <c r="H31" s="44"/>
      <c r="I31" s="44"/>
      <c r="J31" s="45">
        <f>(J25*J26)+(J28*J29)</f>
        <v>0.17710432847477861</v>
      </c>
    </row>
    <row r="32" spans="2:11" x14ac:dyDescent="0.3">
      <c r="B32" s="13" t="s">
        <v>235</v>
      </c>
      <c r="C32" s="17"/>
      <c r="D32" s="17"/>
      <c r="E32" s="153">
        <f>J12</f>
        <v>1.5952688711194234</v>
      </c>
    </row>
    <row r="33" spans="2:7" x14ac:dyDescent="0.3">
      <c r="B33" t="s">
        <v>236</v>
      </c>
      <c r="E33" s="11">
        <f>E29</f>
        <v>0.42208949491367492</v>
      </c>
    </row>
    <row r="34" spans="2:7" x14ac:dyDescent="0.3">
      <c r="B34" t="s">
        <v>137</v>
      </c>
      <c r="E34" s="57">
        <f>F11</f>
        <v>0.25169999999999998</v>
      </c>
    </row>
    <row r="35" spans="2:7" x14ac:dyDescent="0.3">
      <c r="B35" s="17" t="s">
        <v>237</v>
      </c>
      <c r="C35" s="17"/>
      <c r="D35" s="17"/>
      <c r="E35" s="153">
        <f>E32*(1+(1-E33)*E34)</f>
        <v>1.8273167993701001</v>
      </c>
    </row>
    <row r="36" spans="2:7" x14ac:dyDescent="0.3">
      <c r="B36" s="40"/>
      <c r="C36" s="40"/>
      <c r="D36" s="143"/>
    </row>
    <row r="37" spans="2:7" x14ac:dyDescent="0.3">
      <c r="B37" s="48" t="s">
        <v>213</v>
      </c>
      <c r="C37" s="49"/>
    </row>
    <row r="38" spans="2:7" x14ac:dyDescent="0.3">
      <c r="B38" s="122" t="s">
        <v>214</v>
      </c>
      <c r="C38" s="123" t="s">
        <v>215</v>
      </c>
      <c r="E38" s="2" t="s">
        <v>247</v>
      </c>
    </row>
    <row r="39" spans="2:7" x14ac:dyDescent="0.3">
      <c r="B39" s="121">
        <v>2000</v>
      </c>
      <c r="C39" s="124">
        <v>-0.14649999999999999</v>
      </c>
      <c r="E39" s="17" t="s">
        <v>216</v>
      </c>
      <c r="F39" s="17"/>
      <c r="G39" s="125">
        <f>AVERAGE(C39:C62)</f>
        <v>0.15574583333333333</v>
      </c>
    </row>
    <row r="40" spans="2:7" ht="16.2" x14ac:dyDescent="0.3">
      <c r="B40" s="121">
        <v>2001</v>
      </c>
      <c r="C40" s="124">
        <v>-0.1618</v>
      </c>
      <c r="E40" t="s">
        <v>217</v>
      </c>
      <c r="G40" s="128" t="s">
        <v>219</v>
      </c>
    </row>
    <row r="41" spans="2:7" x14ac:dyDescent="0.3">
      <c r="B41" s="121">
        <v>2002</v>
      </c>
      <c r="C41" s="124">
        <v>3.2500000000000001E-2</v>
      </c>
      <c r="E41" s="157" t="s">
        <v>218</v>
      </c>
      <c r="F41" s="17"/>
      <c r="G41" s="125">
        <f>SUM(G39:G40)</f>
        <v>0.15574583333333333</v>
      </c>
    </row>
    <row r="42" spans="2:7" x14ac:dyDescent="0.3">
      <c r="B42" s="121">
        <v>2003</v>
      </c>
      <c r="C42" s="124">
        <v>0.71900000000000008</v>
      </c>
    </row>
    <row r="43" spans="2:7" x14ac:dyDescent="0.3">
      <c r="B43" s="121">
        <v>2004</v>
      </c>
      <c r="C43" s="124">
        <v>0.10679999999999999</v>
      </c>
    </row>
    <row r="44" spans="2:7" x14ac:dyDescent="0.3">
      <c r="B44" s="121">
        <v>2005</v>
      </c>
      <c r="C44" s="124">
        <v>0.36340000000000006</v>
      </c>
    </row>
    <row r="45" spans="2:7" x14ac:dyDescent="0.3">
      <c r="B45" s="121">
        <v>2006</v>
      </c>
      <c r="C45" s="124">
        <v>0.39829999999999999</v>
      </c>
    </row>
    <row r="46" spans="2:7" x14ac:dyDescent="0.3">
      <c r="B46" s="121">
        <v>2007</v>
      </c>
      <c r="C46" s="124">
        <v>0.54770000000000008</v>
      </c>
    </row>
    <row r="47" spans="2:7" x14ac:dyDescent="0.3">
      <c r="B47" s="121">
        <v>2008</v>
      </c>
      <c r="C47" s="124">
        <v>-0.51790000000000003</v>
      </c>
    </row>
    <row r="48" spans="2:7" x14ac:dyDescent="0.3">
      <c r="B48" s="121">
        <v>2009</v>
      </c>
      <c r="C48" s="124">
        <v>0.75760000000000005</v>
      </c>
    </row>
    <row r="49" spans="2:3" x14ac:dyDescent="0.3">
      <c r="B49" s="121">
        <v>2010</v>
      </c>
      <c r="C49" s="124">
        <v>0.17949999999999999</v>
      </c>
    </row>
    <row r="50" spans="2:3" x14ac:dyDescent="0.3">
      <c r="B50" s="121">
        <v>2011</v>
      </c>
      <c r="C50" s="124">
        <v>-0.2462</v>
      </c>
    </row>
    <row r="51" spans="2:3" x14ac:dyDescent="0.3">
      <c r="B51" s="121">
        <v>2012</v>
      </c>
      <c r="C51" s="124">
        <v>0.27699999999999997</v>
      </c>
    </row>
    <row r="52" spans="2:3" x14ac:dyDescent="0.3">
      <c r="B52" s="121">
        <v>2013</v>
      </c>
      <c r="C52" s="124">
        <v>6.7599999999999993E-2</v>
      </c>
    </row>
    <row r="53" spans="2:3" x14ac:dyDescent="0.3">
      <c r="B53" s="121">
        <v>2014</v>
      </c>
      <c r="C53" s="124">
        <v>0.31390000000000001</v>
      </c>
    </row>
    <row r="54" spans="2:3" x14ac:dyDescent="0.3">
      <c r="B54" s="121">
        <v>2015</v>
      </c>
      <c r="C54" s="124">
        <v>-4.0599999999999997E-2</v>
      </c>
    </row>
    <row r="55" spans="2:3" x14ac:dyDescent="0.3">
      <c r="B55" s="121">
        <v>2016</v>
      </c>
      <c r="C55" s="124">
        <v>3.0099999999999998E-2</v>
      </c>
    </row>
    <row r="56" spans="2:3" x14ac:dyDescent="0.3">
      <c r="B56" s="121">
        <v>2017</v>
      </c>
      <c r="C56" s="124">
        <v>0.28649999999999998</v>
      </c>
    </row>
    <row r="57" spans="2:3" x14ac:dyDescent="0.3">
      <c r="B57" s="121">
        <v>2018</v>
      </c>
      <c r="C57" s="124">
        <v>3.15E-2</v>
      </c>
    </row>
    <row r="58" spans="2:3" x14ac:dyDescent="0.3">
      <c r="B58" s="121">
        <v>2019</v>
      </c>
      <c r="C58" s="124">
        <v>0.1202</v>
      </c>
    </row>
    <row r="59" spans="2:3" x14ac:dyDescent="0.3">
      <c r="B59" s="121">
        <v>2020</v>
      </c>
      <c r="C59" s="124">
        <v>0.14169999999999999</v>
      </c>
    </row>
    <row r="60" spans="2:3" x14ac:dyDescent="0.3">
      <c r="B60" s="121">
        <v>2021</v>
      </c>
      <c r="C60" s="124">
        <v>0.2412</v>
      </c>
    </row>
    <row r="61" spans="2:3" x14ac:dyDescent="0.3">
      <c r="B61" s="121">
        <v>2022</v>
      </c>
      <c r="C61" s="124">
        <v>4.3200000000000002E-2</v>
      </c>
    </row>
    <row r="62" spans="2:3" x14ac:dyDescent="0.3">
      <c r="B62" s="121">
        <v>2023</v>
      </c>
      <c r="C62" s="11">
        <v>0.19320000000000001</v>
      </c>
    </row>
  </sheetData>
  <hyperlinks>
    <hyperlink ref="B7" r:id="rId1" display="https://www.screener.in/company/JSWSTEEL/consolidated/" xr:uid="{20D13C73-76AB-4EA9-BBB6-44DAAEB98F4E}"/>
    <hyperlink ref="B8" r:id="rId2" display="https://www.screener.in/company/JSL/consolidated/" xr:uid="{E0DE1E0C-FDED-4A81-AB5A-2B89A823B462}"/>
    <hyperlink ref="B9" r:id="rId3" display="https://www.screener.in/company/SAIL/consolidated/" xr:uid="{07B16A90-B962-4213-B99F-3EB6EE5C2B28}"/>
  </hyperlinks>
  <pageMargins left="0.7" right="0.7" top="0.75" bottom="0.75" header="0.3" footer="0.3"/>
  <ignoredErrors>
    <ignoredError sqref="H6:H7 H8:H9"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176BB-5908-4B85-A040-12824F0CCC7B}">
  <dimension ref="B2:K24"/>
  <sheetViews>
    <sheetView showGridLines="0" zoomScale="98" workbookViewId="0">
      <selection activeCell="B3" sqref="B3"/>
    </sheetView>
  </sheetViews>
  <sheetFormatPr defaultRowHeight="14.4" x14ac:dyDescent="0.3"/>
  <cols>
    <col min="1" max="1" width="1.88671875" customWidth="1"/>
    <col min="2" max="2" width="53.88671875" bestFit="1" customWidth="1"/>
    <col min="3" max="3" width="13.21875" customWidth="1"/>
    <col min="4" max="4" width="13.88671875" customWidth="1"/>
    <col min="5" max="6" width="14.21875" customWidth="1"/>
    <col min="7" max="7" width="12.77734375" customWidth="1"/>
    <col min="8" max="8" width="13.109375" customWidth="1"/>
    <col min="9" max="9" width="11.77734375" customWidth="1"/>
    <col min="10" max="10" width="14.5546875" customWidth="1"/>
  </cols>
  <sheetData>
    <row r="2" spans="2:10" x14ac:dyDescent="0.3">
      <c r="B2" s="230" t="s">
        <v>157</v>
      </c>
      <c r="C2" s="230"/>
      <c r="D2" s="230"/>
      <c r="E2" s="230"/>
      <c r="F2" s="230"/>
      <c r="G2" s="230"/>
      <c r="H2" s="230"/>
      <c r="I2" s="230"/>
      <c r="J2" s="230"/>
    </row>
    <row r="3" spans="2:10" ht="15" thickBot="1" x14ac:dyDescent="0.35">
      <c r="B3" s="42" t="s">
        <v>268</v>
      </c>
      <c r="C3" s="22"/>
      <c r="D3" s="92" t="s">
        <v>0</v>
      </c>
      <c r="E3" s="22"/>
      <c r="F3" s="22"/>
      <c r="G3" s="22"/>
      <c r="H3" s="22"/>
      <c r="I3" s="21" t="s">
        <v>1</v>
      </c>
      <c r="J3" s="22"/>
    </row>
    <row r="4" spans="2:10" x14ac:dyDescent="0.3">
      <c r="B4" s="14" t="s">
        <v>140</v>
      </c>
      <c r="C4" s="3">
        <v>44256</v>
      </c>
      <c r="D4" s="3">
        <v>44621</v>
      </c>
      <c r="E4" s="3">
        <v>44986</v>
      </c>
      <c r="F4" s="4">
        <v>45352</v>
      </c>
      <c r="G4" s="4">
        <v>45717</v>
      </c>
      <c r="H4" s="4">
        <v>46082</v>
      </c>
      <c r="I4" s="4">
        <v>46447</v>
      </c>
      <c r="J4" s="4">
        <v>46813</v>
      </c>
    </row>
    <row r="5" spans="2:10" x14ac:dyDescent="0.3">
      <c r="B5" s="93" t="s">
        <v>141</v>
      </c>
      <c r="C5" s="66">
        <v>9539</v>
      </c>
      <c r="D5" s="68">
        <v>12246.43</v>
      </c>
      <c r="E5" s="68">
        <v>8257.24</v>
      </c>
      <c r="F5" s="94">
        <f>'Income Statement '!G11/(365/'Working Capital'!E19)</f>
        <v>8638.0510944235539</v>
      </c>
      <c r="G5" s="94">
        <f>'Income Statement '!H11/(365/'Working Capital'!F19)</f>
        <v>13942.123629964335</v>
      </c>
      <c r="H5" s="94">
        <f>'Income Statement '!I11/(365/'Working Capital'!G19)</f>
        <v>14751.592509558197</v>
      </c>
      <c r="I5" s="94">
        <f>'Income Statement '!J11/(365/'Working Capital'!H19)</f>
        <v>15696.13125471143</v>
      </c>
      <c r="J5" s="94">
        <f>'Income Statement '!K11/(365/'Working Capital'!I19)</f>
        <v>16794.860442541234</v>
      </c>
    </row>
    <row r="6" spans="2:10" x14ac:dyDescent="0.3">
      <c r="B6" s="65" t="s">
        <v>142</v>
      </c>
      <c r="C6" s="66">
        <v>33276</v>
      </c>
      <c r="D6" s="68">
        <v>48824.39</v>
      </c>
      <c r="E6" s="68">
        <v>54415.33</v>
      </c>
      <c r="F6" s="94">
        <f>'Income Statement '!G13/(365/'Working Capital'!F20)</f>
        <v>54747.154960801316</v>
      </c>
      <c r="G6" s="94">
        <f>'Income Statement '!H13/(365/'Working Capital'!G20)</f>
        <v>59060.669237942901</v>
      </c>
      <c r="H6" s="94">
        <f>'Income Statement '!I13/(365/'Working Capital'!H20)</f>
        <v>64946.42651926812</v>
      </c>
      <c r="I6" s="94">
        <f>'Income Statement '!J13/(365/'Working Capital'!I20)</f>
        <v>66813.657059344725</v>
      </c>
      <c r="J6" s="94">
        <f>'Income Statement '!K13/(365/'Working Capital'!J20)</f>
        <v>72192.705359380081</v>
      </c>
    </row>
    <row r="7" spans="2:10" x14ac:dyDescent="0.3">
      <c r="B7" s="103" t="s">
        <v>211</v>
      </c>
      <c r="C7" s="66">
        <v>2403</v>
      </c>
      <c r="D7" s="68">
        <v>3803.07</v>
      </c>
      <c r="E7" s="68">
        <v>6057.71</v>
      </c>
      <c r="F7" s="94">
        <f>F21*'Income Statement '!G11</f>
        <v>4796.4415927730679</v>
      </c>
      <c r="G7" s="94">
        <f>G21*'Income Statement '!H11</f>
        <v>5355.7329122195424</v>
      </c>
      <c r="H7" s="94">
        <f>H21*'Income Statement '!I11</f>
        <v>6020.0709506251633</v>
      </c>
      <c r="I7" s="94">
        <f>I21*'Income Statement '!J11</f>
        <v>6038.7296295486249</v>
      </c>
      <c r="J7" s="94">
        <f>J21*'Income Statement '!K11</f>
        <v>6588.9820632668952</v>
      </c>
    </row>
    <row r="8" spans="2:10" x14ac:dyDescent="0.3">
      <c r="B8" s="102" t="s">
        <v>143</v>
      </c>
      <c r="C8" s="85">
        <f>SUM(C5:C7)</f>
        <v>45218</v>
      </c>
      <c r="D8" s="104">
        <f t="shared" ref="D8:E8" si="0">SUM(D5:D7)</f>
        <v>64873.89</v>
      </c>
      <c r="E8" s="104">
        <f t="shared" si="0"/>
        <v>68730.28</v>
      </c>
      <c r="F8" s="106">
        <f>SUM(F5:F7)</f>
        <v>68181.647647997946</v>
      </c>
      <c r="G8" s="106">
        <f t="shared" ref="G8:J8" si="1">SUM(G5:G7)</f>
        <v>78358.525780126773</v>
      </c>
      <c r="H8" s="106">
        <f t="shared" si="1"/>
        <v>85718.08997945147</v>
      </c>
      <c r="I8" s="106">
        <f t="shared" si="1"/>
        <v>88548.517943604791</v>
      </c>
      <c r="J8" s="106">
        <f t="shared" si="1"/>
        <v>95576.547865188215</v>
      </c>
    </row>
    <row r="9" spans="2:10" x14ac:dyDescent="0.3">
      <c r="B9" s="100"/>
      <c r="C9" s="101"/>
      <c r="D9" s="101"/>
      <c r="E9" s="101"/>
      <c r="F9" s="100"/>
      <c r="G9" s="100"/>
      <c r="H9" s="100"/>
      <c r="I9" s="100"/>
      <c r="J9" s="100"/>
    </row>
    <row r="10" spans="2:10" x14ac:dyDescent="0.3">
      <c r="B10" s="95" t="s">
        <v>144</v>
      </c>
      <c r="C10" s="117"/>
      <c r="D10" s="117"/>
      <c r="E10" s="117"/>
      <c r="F10" s="118"/>
      <c r="G10" s="118"/>
      <c r="H10" s="118"/>
      <c r="I10" s="118"/>
      <c r="J10" s="118"/>
    </row>
    <row r="11" spans="2:10" x14ac:dyDescent="0.3">
      <c r="B11" s="65" t="s">
        <v>145</v>
      </c>
      <c r="C11" s="68">
        <v>25967.49</v>
      </c>
      <c r="D11" s="68">
        <v>37832</v>
      </c>
      <c r="E11" s="68">
        <v>36764.870000000003</v>
      </c>
      <c r="F11" s="94">
        <f>'Income Statement '!G13/(365/'Working Capital'!F22)</f>
        <v>43221.438126948407</v>
      </c>
      <c r="G11" s="94">
        <f>'Income Statement '!H13/(365/'Working Capital'!G22)</f>
        <v>46626.844135218082</v>
      </c>
      <c r="H11" s="94">
        <f>'Income Statement '!I13/(365/'Working Capital'!H22)</f>
        <v>51273.494620474834</v>
      </c>
      <c r="I11" s="94">
        <f>'Income Statement '!J13/(365/'Working Capital'!I22)</f>
        <v>52747.623994219524</v>
      </c>
      <c r="J11" s="94">
        <f>'Income Statement '!K13/(365/'Working Capital'!J22)</f>
        <v>56994.241073194811</v>
      </c>
    </row>
    <row r="12" spans="2:10" x14ac:dyDescent="0.3">
      <c r="B12" s="65" t="s">
        <v>146</v>
      </c>
      <c r="C12" s="66">
        <v>4424</v>
      </c>
      <c r="D12" s="68">
        <v>1382.7</v>
      </c>
      <c r="E12" s="68">
        <v>1923.98</v>
      </c>
      <c r="F12" s="94">
        <f>F23*'Income Statement '!G27</f>
        <v>4437.5091789483249</v>
      </c>
      <c r="G12" s="94">
        <f>G23*'Income Statement '!H27</f>
        <v>6374.3903491735</v>
      </c>
      <c r="H12" s="94">
        <f>H23*'Income Statement '!I27</f>
        <v>3341.4000567123398</v>
      </c>
      <c r="I12" s="94">
        <f>I23*'Income Statement '!J27</f>
        <v>5269.7395374998032</v>
      </c>
      <c r="J12" s="94">
        <f>J23*'Income Statement '!K27</f>
        <v>5224.3210065207368</v>
      </c>
    </row>
    <row r="13" spans="2:10" x14ac:dyDescent="0.3">
      <c r="B13" s="65" t="s">
        <v>147</v>
      </c>
      <c r="C13" s="66">
        <v>15839.15</v>
      </c>
      <c r="D13" s="68">
        <v>18281.02</v>
      </c>
      <c r="E13" s="68">
        <v>18427.830000000002</v>
      </c>
      <c r="F13" s="94">
        <f>F24*'Income Statement '!G17</f>
        <v>19320.011065859893</v>
      </c>
      <c r="G13" s="94">
        <f>G24*'Income Statement '!H17</f>
        <v>18850.509210431908</v>
      </c>
      <c r="H13" s="94">
        <f>H24*'Income Statement '!I17</f>
        <v>18574.621474928907</v>
      </c>
      <c r="I13" s="94">
        <f>I24*'Income Statement '!J17</f>
        <v>21277.777436783639</v>
      </c>
      <c r="J13" s="94">
        <f>J24*'Income Statement '!K17</f>
        <v>22213.650504548346</v>
      </c>
    </row>
    <row r="14" spans="2:10" x14ac:dyDescent="0.3">
      <c r="B14" s="102" t="s">
        <v>148</v>
      </c>
      <c r="C14" s="85">
        <f>SUM(C11:C13)</f>
        <v>46230.64</v>
      </c>
      <c r="D14" s="104">
        <f t="shared" ref="D14:E14" si="2">SUM(D11:D13)</f>
        <v>57495.72</v>
      </c>
      <c r="E14" s="104">
        <f t="shared" si="2"/>
        <v>57116.680000000008</v>
      </c>
      <c r="F14" s="106">
        <f>SUM(F11:F13)</f>
        <v>66978.958371756627</v>
      </c>
      <c r="G14" s="106">
        <f t="shared" ref="G14:J14" si="3">SUM(G11:G13)</f>
        <v>71851.743694823483</v>
      </c>
      <c r="H14" s="106">
        <f t="shared" si="3"/>
        <v>73189.516152116077</v>
      </c>
      <c r="I14" s="106">
        <f t="shared" si="3"/>
        <v>79295.140968502965</v>
      </c>
      <c r="J14" s="106">
        <f t="shared" si="3"/>
        <v>84432.212584263892</v>
      </c>
    </row>
    <row r="15" spans="2:10" x14ac:dyDescent="0.3">
      <c r="B15" s="100"/>
      <c r="C15" s="101"/>
      <c r="D15" s="101"/>
      <c r="E15" s="101"/>
      <c r="F15" s="107"/>
      <c r="G15" s="107"/>
      <c r="H15" s="107"/>
      <c r="I15" s="107"/>
      <c r="J15" s="107"/>
    </row>
    <row r="16" spans="2:10" x14ac:dyDescent="0.3">
      <c r="B16" s="98" t="s">
        <v>149</v>
      </c>
      <c r="C16" s="66">
        <f>C8-C14</f>
        <v>-1012.6399999999994</v>
      </c>
      <c r="D16" s="68">
        <f t="shared" ref="D16:E16" si="4">D8-D14</f>
        <v>7378.1699999999983</v>
      </c>
      <c r="E16" s="68">
        <f t="shared" si="4"/>
        <v>11613.599999999991</v>
      </c>
      <c r="F16" s="94">
        <f>F8-F14</f>
        <v>1202.689276241319</v>
      </c>
      <c r="G16" s="94">
        <f t="shared" ref="G16:J16" si="5">G8-G14</f>
        <v>6506.7820853032899</v>
      </c>
      <c r="H16" s="94">
        <f t="shared" si="5"/>
        <v>12528.573827335393</v>
      </c>
      <c r="I16" s="94">
        <f t="shared" si="5"/>
        <v>9253.3769751018262</v>
      </c>
      <c r="J16" s="94">
        <f t="shared" si="5"/>
        <v>11144.335280924322</v>
      </c>
    </row>
    <row r="17" spans="2:11" x14ac:dyDescent="0.3">
      <c r="B17" s="98" t="s">
        <v>150</v>
      </c>
      <c r="C17" s="105" t="s">
        <v>212</v>
      </c>
      <c r="D17" s="68">
        <f>D16-(C16)</f>
        <v>8390.8099999999977</v>
      </c>
      <c r="E17" s="68">
        <f>E16-(D16)</f>
        <v>4235.429999999993</v>
      </c>
      <c r="F17" s="94">
        <f>F16-(E16)</f>
        <v>-10410.910723758672</v>
      </c>
      <c r="G17" s="94">
        <f t="shared" ref="G17:J17" si="6">G16-(F16)</f>
        <v>5304.0928090619709</v>
      </c>
      <c r="H17" s="94">
        <f t="shared" si="6"/>
        <v>6021.7917420321028</v>
      </c>
      <c r="I17" s="94">
        <f t="shared" si="6"/>
        <v>-3275.1968522335665</v>
      </c>
      <c r="J17" s="94">
        <f t="shared" si="6"/>
        <v>1890.9583058224962</v>
      </c>
    </row>
    <row r="18" spans="2:11" x14ac:dyDescent="0.3">
      <c r="B18" s="65"/>
      <c r="C18" s="66"/>
      <c r="D18" s="66"/>
      <c r="E18" s="66"/>
      <c r="F18" s="65"/>
      <c r="G18" s="65"/>
      <c r="H18" s="65"/>
      <c r="I18" s="65"/>
      <c r="J18" s="65"/>
    </row>
    <row r="19" spans="2:11" x14ac:dyDescent="0.3">
      <c r="B19" s="65" t="s">
        <v>151</v>
      </c>
      <c r="C19" s="96">
        <f>(C5/'Income Statement '!D11)*365</f>
        <v>22.276805188779264</v>
      </c>
      <c r="D19" s="96">
        <f>(D5/'Income Statement '!E11)*365</f>
        <v>19.105684970443541</v>
      </c>
      <c r="E19" s="96">
        <f>(E5/'Income Statement '!F11)*365</f>
        <v>12.384909924718105</v>
      </c>
      <c r="F19" s="108">
        <v>19</v>
      </c>
      <c r="G19" s="108">
        <v>19</v>
      </c>
      <c r="H19" s="108">
        <v>19</v>
      </c>
      <c r="I19" s="108">
        <v>19</v>
      </c>
      <c r="J19" s="108">
        <v>19</v>
      </c>
      <c r="K19" s="36"/>
    </row>
    <row r="20" spans="2:11" x14ac:dyDescent="0.3">
      <c r="B20" s="65" t="s">
        <v>152</v>
      </c>
      <c r="C20" s="96">
        <f>365/('Income Statement '!D13/'Working Capital'!C6)</f>
        <v>203.60502261059881</v>
      </c>
      <c r="D20" s="96">
        <f>365/('Income Statement '!E13/'Working Capital'!D6)</f>
        <v>203.85616799551585</v>
      </c>
      <c r="E20" s="96">
        <f>365/('Income Statement '!F13/'Working Capital'!E6)</f>
        <v>168.60866957562587</v>
      </c>
      <c r="F20" s="108">
        <v>190</v>
      </c>
      <c r="G20" s="108">
        <v>190</v>
      </c>
      <c r="H20" s="108">
        <v>190</v>
      </c>
      <c r="I20" s="108">
        <v>190</v>
      </c>
      <c r="J20" s="108">
        <v>190</v>
      </c>
      <c r="K20" s="36"/>
    </row>
    <row r="21" spans="2:11" x14ac:dyDescent="0.3">
      <c r="B21" s="65" t="s">
        <v>153</v>
      </c>
      <c r="C21" s="82">
        <f>C7/'Income Statement '!D11</f>
        <v>1.537485272964099E-2</v>
      </c>
      <c r="D21" s="82">
        <f>D7/'Income Statement '!E11</f>
        <v>1.6255284045495151E-2</v>
      </c>
      <c r="E21" s="82">
        <f>E7/'Income Statement '!F11</f>
        <v>2.4892789046319735E-2</v>
      </c>
      <c r="F21" s="109">
        <f>AVERAGE(C21:E21)</f>
        <v>1.8840975273818627E-2</v>
      </c>
      <c r="G21" s="109">
        <f t="shared" ref="G21:J21" si="7">AVERAGE(D21:F21)</f>
        <v>1.9996349455211171E-2</v>
      </c>
      <c r="H21" s="109">
        <f t="shared" si="7"/>
        <v>2.1243371258449845E-2</v>
      </c>
      <c r="I21" s="109">
        <f t="shared" si="7"/>
        <v>2.0026898662493214E-2</v>
      </c>
      <c r="J21" s="109">
        <f t="shared" si="7"/>
        <v>2.0422206458718076E-2</v>
      </c>
      <c r="K21" s="36"/>
    </row>
    <row r="22" spans="2:11" x14ac:dyDescent="0.3">
      <c r="B22" s="65" t="s">
        <v>154</v>
      </c>
      <c r="C22" s="97">
        <f>365/('Income Statement '!D13/'Working Capital'!C11)</f>
        <v>158.88662665556254</v>
      </c>
      <c r="D22" s="97">
        <f>('Working Capital'!D11/'Income Statement '!E13)*365</f>
        <v>157.95971127558082</v>
      </c>
      <c r="E22" s="97">
        <f>('Working Capital'!E11/'Income Statement '!F13)*365</f>
        <v>113.91782091224735</v>
      </c>
      <c r="F22" s="103">
        <f>150</f>
        <v>150</v>
      </c>
      <c r="G22" s="103">
        <f>150</f>
        <v>150</v>
      </c>
      <c r="H22" s="103">
        <f>150</f>
        <v>150</v>
      </c>
      <c r="I22" s="103">
        <f>150</f>
        <v>150</v>
      </c>
      <c r="J22" s="103">
        <f>150</f>
        <v>150</v>
      </c>
      <c r="K22" s="36"/>
    </row>
    <row r="23" spans="2:11" ht="15.6" customHeight="1" x14ac:dyDescent="0.3">
      <c r="B23" s="99" t="s">
        <v>155</v>
      </c>
      <c r="C23" s="82">
        <f>C12/'Income Statement '!D27</f>
        <v>0.43530547494794963</v>
      </c>
      <c r="D23" s="82">
        <f>D12/'Income Statement '!E27</f>
        <v>0.13455652136793131</v>
      </c>
      <c r="E23" s="82">
        <f>E12/'Income Statement '!F27</f>
        <v>0.11388976305583989</v>
      </c>
      <c r="F23" s="109">
        <f>AVERAGE(C23:E23)</f>
        <v>0.22791725312390695</v>
      </c>
      <c r="G23" s="109">
        <f t="shared" ref="G23:J23" si="8">AVERAGE(D23:F23)</f>
        <v>0.15878784584922603</v>
      </c>
      <c r="H23" s="109">
        <f t="shared" si="8"/>
        <v>0.16686495400965762</v>
      </c>
      <c r="I23" s="109">
        <f t="shared" si="8"/>
        <v>0.18452335099426354</v>
      </c>
      <c r="J23" s="109">
        <f t="shared" si="8"/>
        <v>0.17005871695104904</v>
      </c>
      <c r="K23" s="36"/>
    </row>
    <row r="24" spans="2:11" x14ac:dyDescent="0.3">
      <c r="B24" s="65" t="s">
        <v>156</v>
      </c>
      <c r="C24" s="82">
        <f>C13/'Income Statement '!D17</f>
        <v>0.28939553283792396</v>
      </c>
      <c r="D24" s="82">
        <f>D13/'Income Statement '!E17</f>
        <v>0.25758247815461749</v>
      </c>
      <c r="E24" s="82">
        <f>E13/'Income Statement '!F17</f>
        <v>0.23237587737582821</v>
      </c>
      <c r="F24" s="109">
        <f>AVERAGE(C24:E24)</f>
        <v>0.25978462945612324</v>
      </c>
      <c r="G24" s="109">
        <f t="shared" ref="G24:J24" si="9">AVERAGE(D24:F24)</f>
        <v>0.24991432832885629</v>
      </c>
      <c r="H24" s="109">
        <f t="shared" si="9"/>
        <v>0.24735827838693591</v>
      </c>
      <c r="I24" s="109">
        <f t="shared" si="9"/>
        <v>0.25235241205730513</v>
      </c>
      <c r="J24" s="109">
        <f t="shared" si="9"/>
        <v>0.24987500625769909</v>
      </c>
      <c r="K24" s="36"/>
    </row>
  </sheetData>
  <mergeCells count="1">
    <mergeCell ref="B2:J2"/>
  </mergeCells>
  <pageMargins left="0.7" right="0.7" top="0.75" bottom="0.75" header="0.3" footer="0.3"/>
  <ignoredErrors>
    <ignoredError sqref="C8:E8"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51D5-B79C-4CAB-9289-0582DEF3A473}">
  <dimension ref="A2:L23"/>
  <sheetViews>
    <sheetView showGridLines="0" workbookViewId="0">
      <selection activeCell="B4" sqref="B4"/>
    </sheetView>
  </sheetViews>
  <sheetFormatPr defaultRowHeight="14.4" x14ac:dyDescent="0.3"/>
  <cols>
    <col min="1" max="1" width="1.88671875" customWidth="1"/>
    <col min="2" max="2" width="29.6640625" bestFit="1" customWidth="1"/>
    <col min="3" max="3" width="10.44140625" bestFit="1" customWidth="1"/>
    <col min="4" max="4" width="12.21875" customWidth="1"/>
    <col min="5" max="5" width="13.44140625" customWidth="1"/>
    <col min="6" max="6" width="15.33203125" customWidth="1"/>
    <col min="7" max="7" width="14" customWidth="1"/>
    <col min="8" max="8" width="14.44140625" customWidth="1"/>
    <col min="9" max="9" width="13.77734375" customWidth="1"/>
    <col min="10" max="11" width="14.77734375" customWidth="1"/>
  </cols>
  <sheetData>
    <row r="2" spans="1:12" x14ac:dyDescent="0.3">
      <c r="B2" s="230" t="s">
        <v>158</v>
      </c>
      <c r="C2" s="230"/>
      <c r="D2" s="230"/>
      <c r="E2" s="230"/>
      <c r="F2" s="230"/>
      <c r="G2" s="230"/>
      <c r="H2" s="230"/>
      <c r="I2" s="230"/>
      <c r="J2" s="230"/>
      <c r="K2" s="230"/>
    </row>
    <row r="3" spans="1:12" x14ac:dyDescent="0.3">
      <c r="A3" s="64"/>
      <c r="B3" s="19"/>
      <c r="C3" s="20" t="s">
        <v>178</v>
      </c>
      <c r="D3" s="3">
        <v>44256</v>
      </c>
      <c r="E3" s="3">
        <v>44621</v>
      </c>
      <c r="F3" s="3">
        <v>44986</v>
      </c>
      <c r="G3" s="4">
        <v>45352</v>
      </c>
      <c r="H3" s="4">
        <v>45717</v>
      </c>
      <c r="I3" s="4">
        <v>46082</v>
      </c>
      <c r="J3" s="4">
        <v>46447</v>
      </c>
      <c r="K3" s="4">
        <v>46813</v>
      </c>
    </row>
    <row r="4" spans="1:12" x14ac:dyDescent="0.3">
      <c r="A4" s="64"/>
      <c r="B4" s="42" t="s">
        <v>268</v>
      </c>
      <c r="C4" s="182"/>
      <c r="D4" s="183"/>
      <c r="E4" s="183"/>
      <c r="F4" s="183"/>
      <c r="G4" s="184"/>
      <c r="H4" s="184"/>
      <c r="I4" s="184"/>
      <c r="J4" s="184"/>
      <c r="K4" s="184"/>
    </row>
    <row r="5" spans="1:12" x14ac:dyDescent="0.3">
      <c r="B5" s="2" t="s">
        <v>158</v>
      </c>
    </row>
    <row r="6" spans="1:12" x14ac:dyDescent="0.3">
      <c r="B6" s="17" t="s">
        <v>159</v>
      </c>
      <c r="C6" s="17"/>
      <c r="D6" s="24">
        <f>C10</f>
        <v>119503.98</v>
      </c>
      <c r="E6" s="24">
        <f>D10</f>
        <v>119003.5</v>
      </c>
      <c r="F6" s="24">
        <f>E10</f>
        <v>116166.46</v>
      </c>
      <c r="G6" s="30">
        <f>F10</f>
        <v>118696.74</v>
      </c>
      <c r="H6" s="30">
        <f t="shared" ref="H6:K6" si="0">G10</f>
        <v>119422.70210295854</v>
      </c>
      <c r="I6" s="30">
        <f t="shared" si="0"/>
        <v>125643.29165680525</v>
      </c>
      <c r="J6" s="30">
        <f t="shared" si="0"/>
        <v>132938.04367774821</v>
      </c>
      <c r="K6" s="30">
        <f t="shared" si="0"/>
        <v>141450.01503793505</v>
      </c>
    </row>
    <row r="7" spans="1:12" x14ac:dyDescent="0.3">
      <c r="B7" s="18" t="s">
        <v>160</v>
      </c>
      <c r="C7" s="18"/>
      <c r="D7" s="25">
        <f>D8-D6</f>
        <v>7156.2400000000052</v>
      </c>
      <c r="E7" s="25">
        <f t="shared" ref="E7:G7" si="1">E8-E6</f>
        <v>4893.9600000000064</v>
      </c>
      <c r="F7" s="25">
        <f t="shared" si="1"/>
        <v>10445.279999999999</v>
      </c>
      <c r="G7" s="31">
        <f t="shared" si="1"/>
        <v>8590.7682915211626</v>
      </c>
      <c r="H7" s="31">
        <f>H8-H6</f>
        <v>14495.064342751517</v>
      </c>
      <c r="I7" s="31">
        <f>I8-I6</f>
        <v>16049.636395530062</v>
      </c>
      <c r="J7" s="31">
        <f>J8-J6</f>
        <v>17827.427584611578</v>
      </c>
      <c r="K7" s="31">
        <f t="shared" ref="K7" si="2">K8-K6</f>
        <v>19869.039212789939</v>
      </c>
    </row>
    <row r="8" spans="1:12" x14ac:dyDescent="0.3">
      <c r="B8" s="2" t="s">
        <v>161</v>
      </c>
      <c r="C8" s="17"/>
      <c r="D8" s="24">
        <f>D10+D9</f>
        <v>126660.22</v>
      </c>
      <c r="E8" s="24">
        <f t="shared" ref="E8:F8" si="3">E10+E9</f>
        <v>123897.46</v>
      </c>
      <c r="F8" s="24">
        <f t="shared" si="3"/>
        <v>126611.74</v>
      </c>
      <c r="G8" s="30">
        <f>'Income Statement '!G11/'Fixed Assets'!G14</f>
        <v>127287.50829152117</v>
      </c>
      <c r="H8" s="30">
        <f>'Income Statement '!H11/'Fixed Assets'!H14</f>
        <v>133917.76644571006</v>
      </c>
      <c r="I8" s="30">
        <f>'Income Statement '!I11/'Fixed Assets'!I14</f>
        <v>141692.92805233531</v>
      </c>
      <c r="J8" s="30">
        <f>'Income Statement '!J11/'Fixed Assets'!J14</f>
        <v>150765.47126235979</v>
      </c>
      <c r="K8" s="30">
        <f>'Income Statement '!K11/'Fixed Assets'!K14</f>
        <v>161319.05425072499</v>
      </c>
    </row>
    <row r="9" spans="1:12" x14ac:dyDescent="0.3">
      <c r="B9" s="18" t="s">
        <v>162</v>
      </c>
      <c r="C9" s="18"/>
      <c r="D9" s="26">
        <f>'Income Statement '!D20</f>
        <v>7656.72</v>
      </c>
      <c r="E9" s="26">
        <f>'Income Statement '!E20</f>
        <v>7731</v>
      </c>
      <c r="F9" s="26">
        <f>'Income Statement '!F20</f>
        <v>7915</v>
      </c>
      <c r="G9" s="31">
        <f>G8*G12</f>
        <v>7864.8061885626221</v>
      </c>
      <c r="H9" s="31">
        <f t="shared" ref="H9:K9" si="4">H8*H12</f>
        <v>8274.474788904814</v>
      </c>
      <c r="I9" s="31">
        <f t="shared" si="4"/>
        <v>8754.8843745871036</v>
      </c>
      <c r="J9" s="31">
        <f t="shared" si="4"/>
        <v>9315.4562244247463</v>
      </c>
      <c r="K9" s="31">
        <f t="shared" si="4"/>
        <v>9967.5381601344798</v>
      </c>
    </row>
    <row r="10" spans="1:12" x14ac:dyDescent="0.3">
      <c r="B10" s="2" t="s">
        <v>163</v>
      </c>
      <c r="C10" s="169">
        <v>119503.98</v>
      </c>
      <c r="D10" s="27">
        <v>119003.5</v>
      </c>
      <c r="E10" s="27">
        <v>116166.46</v>
      </c>
      <c r="F10" s="27">
        <v>118696.74</v>
      </c>
      <c r="G10" s="12">
        <f>G8-G9</f>
        <v>119422.70210295854</v>
      </c>
      <c r="H10" s="12">
        <f t="shared" ref="H10:K10" si="5">H8-H9</f>
        <v>125643.29165680525</v>
      </c>
      <c r="I10" s="12">
        <f t="shared" si="5"/>
        <v>132938.04367774821</v>
      </c>
      <c r="J10" s="12">
        <f t="shared" si="5"/>
        <v>141450.01503793505</v>
      </c>
      <c r="K10" s="12">
        <f t="shared" si="5"/>
        <v>151351.51609059051</v>
      </c>
    </row>
    <row r="11" spans="1:12" x14ac:dyDescent="0.3">
      <c r="D11" s="1"/>
      <c r="E11" s="1"/>
      <c r="F11" s="1"/>
    </row>
    <row r="12" spans="1:12" x14ac:dyDescent="0.3">
      <c r="B12" s="15" t="s">
        <v>164</v>
      </c>
      <c r="C12" s="46"/>
      <c r="D12" s="110">
        <f>D9/D8</f>
        <v>6.0450866104606482E-2</v>
      </c>
      <c r="E12" s="110">
        <f t="shared" ref="E12:F12" si="6">E9/E8</f>
        <v>6.2398373622832945E-2</v>
      </c>
      <c r="F12" s="110">
        <f t="shared" si="6"/>
        <v>6.2513950128163465E-2</v>
      </c>
      <c r="G12" s="111">
        <f>AVERAGE($D12:$F12)</f>
        <v>6.1787729951867633E-2</v>
      </c>
      <c r="H12" s="111">
        <f t="shared" ref="H12:K12" si="7">AVERAGE($D12:$F12)</f>
        <v>6.1787729951867633E-2</v>
      </c>
      <c r="I12" s="111">
        <f t="shared" si="7"/>
        <v>6.1787729951867633E-2</v>
      </c>
      <c r="J12" s="111">
        <f t="shared" si="7"/>
        <v>6.1787729951867633E-2</v>
      </c>
      <c r="K12" s="111">
        <f t="shared" si="7"/>
        <v>6.1787729951867633E-2</v>
      </c>
      <c r="L12" s="36"/>
    </row>
    <row r="13" spans="1:12" x14ac:dyDescent="0.3">
      <c r="D13" s="1"/>
      <c r="E13" s="1"/>
      <c r="F13" s="1"/>
    </row>
    <row r="14" spans="1:12" x14ac:dyDescent="0.3">
      <c r="B14" s="2" t="s">
        <v>165</v>
      </c>
      <c r="D14" s="112">
        <f>'Income Statement '!D11/'Fixed Assets'!D8</f>
        <v>1.2339642233370509</v>
      </c>
      <c r="E14" s="112">
        <f>'Income Statement '!E11/'Fixed Assets'!E8</f>
        <v>1.8883276541746699</v>
      </c>
      <c r="F14" s="112">
        <f>'Income Statement '!F11/'Fixed Assets'!F8</f>
        <v>1.9220334544016218</v>
      </c>
      <c r="G14" s="13">
        <v>2</v>
      </c>
      <c r="H14" s="13">
        <v>2</v>
      </c>
      <c r="I14" s="13">
        <v>2</v>
      </c>
      <c r="J14" s="13">
        <v>2</v>
      </c>
      <c r="K14" s="13">
        <v>2</v>
      </c>
      <c r="L14" s="36"/>
    </row>
    <row r="15" spans="1:12" ht="15" thickBot="1" x14ac:dyDescent="0.35">
      <c r="D15" s="1"/>
      <c r="E15" s="1"/>
      <c r="F15" s="1"/>
    </row>
    <row r="16" spans="1:12" x14ac:dyDescent="0.3">
      <c r="B16" s="23" t="s">
        <v>166</v>
      </c>
      <c r="D16" s="1"/>
      <c r="E16" s="1"/>
      <c r="F16" s="1"/>
    </row>
    <row r="17" spans="2:11" x14ac:dyDescent="0.3">
      <c r="B17" s="17" t="s">
        <v>167</v>
      </c>
      <c r="C17" s="17"/>
      <c r="D17" s="24">
        <f>C21</f>
        <v>2442.37</v>
      </c>
      <c r="E17" s="24">
        <f>D21</f>
        <v>2976.04</v>
      </c>
      <c r="F17" s="24">
        <f>E21</f>
        <v>4472.47</v>
      </c>
      <c r="G17" s="30">
        <f>F21</f>
        <v>13100.55</v>
      </c>
      <c r="H17" s="30">
        <f>G21</f>
        <v>13995.197508198688</v>
      </c>
      <c r="I17" s="30">
        <f t="shared" ref="I17:K17" si="8">H21</f>
        <v>14837.100777128477</v>
      </c>
      <c r="J17" s="30">
        <f t="shared" si="8"/>
        <v>15629.36936083223</v>
      </c>
      <c r="K17" s="30">
        <f t="shared" si="8"/>
        <v>16374.929488567395</v>
      </c>
    </row>
    <row r="18" spans="2:11" x14ac:dyDescent="0.3">
      <c r="B18" s="18" t="s">
        <v>168</v>
      </c>
      <c r="C18" s="18"/>
      <c r="D18" s="25">
        <f>D19-D17</f>
        <v>818.48</v>
      </c>
      <c r="E18" s="25">
        <f t="shared" ref="E18:F18" si="9">E19-E17</f>
        <v>1771.4300000000003</v>
      </c>
      <c r="F18" s="25">
        <f t="shared" si="9"/>
        <v>9055.5399999999972</v>
      </c>
      <c r="G18" s="31">
        <f>MEDIAN(D18:F18)</f>
        <v>1771.4300000000003</v>
      </c>
      <c r="H18" s="31">
        <f t="shared" ref="H18:K18" si="10">MEDIAN(E18:G18)</f>
        <v>1771.4300000000003</v>
      </c>
      <c r="I18" s="31">
        <f t="shared" si="10"/>
        <v>1771.4300000000003</v>
      </c>
      <c r="J18" s="31">
        <f t="shared" si="10"/>
        <v>1771.4300000000003</v>
      </c>
      <c r="K18" s="31">
        <f t="shared" si="10"/>
        <v>1771.4300000000003</v>
      </c>
    </row>
    <row r="19" spans="2:11" x14ac:dyDescent="0.3">
      <c r="B19" s="2" t="s">
        <v>169</v>
      </c>
      <c r="C19" s="17"/>
      <c r="D19" s="24">
        <f>D20+D21</f>
        <v>3260.85</v>
      </c>
      <c r="E19" s="24">
        <f t="shared" ref="E19:F19" si="11">E20+E21</f>
        <v>4747.47</v>
      </c>
      <c r="F19" s="24">
        <f t="shared" si="11"/>
        <v>13528.009999999998</v>
      </c>
      <c r="G19" s="30">
        <f>SUM(G17:G18)</f>
        <v>14871.98</v>
      </c>
      <c r="H19" s="30">
        <f t="shared" ref="H19:K19" si="12">SUM(H17:H18)</f>
        <v>15766.627508198688</v>
      </c>
      <c r="I19" s="30">
        <f t="shared" si="12"/>
        <v>16608.530777128479</v>
      </c>
      <c r="J19" s="30">
        <f t="shared" si="12"/>
        <v>17400.799360832229</v>
      </c>
      <c r="K19" s="30">
        <f t="shared" si="12"/>
        <v>18146.359488567396</v>
      </c>
    </row>
    <row r="20" spans="2:11" x14ac:dyDescent="0.3">
      <c r="B20" s="18" t="s">
        <v>170</v>
      </c>
      <c r="C20" s="18"/>
      <c r="D20" s="25">
        <f>'Income Statement '!D19</f>
        <v>284.81</v>
      </c>
      <c r="E20" s="25">
        <f>'Income Statement '!E19</f>
        <v>275</v>
      </c>
      <c r="F20" s="25">
        <f>'Income Statement '!F19</f>
        <v>427.46</v>
      </c>
      <c r="G20" s="31">
        <f>G19*G23</f>
        <v>876.78249180131229</v>
      </c>
      <c r="H20" s="31">
        <f t="shared" ref="H20:K20" si="13">H19*H23</f>
        <v>929.52673107021133</v>
      </c>
      <c r="I20" s="31">
        <f t="shared" si="13"/>
        <v>979.16141629624929</v>
      </c>
      <c r="J20" s="31">
        <f t="shared" si="13"/>
        <v>1025.8698722648339</v>
      </c>
      <c r="K20" s="31">
        <f t="shared" si="13"/>
        <v>1069.8246157881135</v>
      </c>
    </row>
    <row r="21" spans="2:11" x14ac:dyDescent="0.3">
      <c r="B21" s="2" t="s">
        <v>171</v>
      </c>
      <c r="C21" s="169">
        <v>2442.37</v>
      </c>
      <c r="D21" s="27">
        <v>2976.04</v>
      </c>
      <c r="E21" s="27">
        <v>4472.47</v>
      </c>
      <c r="F21" s="27">
        <v>13100.55</v>
      </c>
      <c r="G21" s="12">
        <f>SUM(G19-G20)</f>
        <v>13995.197508198688</v>
      </c>
      <c r="H21" s="12">
        <f t="shared" ref="H21:K21" si="14">SUM(H19-H20)</f>
        <v>14837.100777128477</v>
      </c>
      <c r="I21" s="12">
        <f t="shared" si="14"/>
        <v>15629.36936083223</v>
      </c>
      <c r="J21" s="12">
        <f t="shared" si="14"/>
        <v>16374.929488567395</v>
      </c>
      <c r="K21" s="12">
        <f t="shared" si="14"/>
        <v>17076.534872779281</v>
      </c>
    </row>
    <row r="22" spans="2:11" x14ac:dyDescent="0.3">
      <c r="B22" s="2"/>
      <c r="D22" s="1"/>
      <c r="E22" s="1"/>
      <c r="F22" s="1"/>
    </row>
    <row r="23" spans="2:11" x14ac:dyDescent="0.3">
      <c r="B23" s="15" t="s">
        <v>172</v>
      </c>
      <c r="C23" s="46"/>
      <c r="D23" s="110">
        <f>D20/D19</f>
        <v>8.7342257386877661E-2</v>
      </c>
      <c r="E23" s="110">
        <f t="shared" ref="E23:F23" si="15">E20/E19</f>
        <v>5.7925589840483453E-2</v>
      </c>
      <c r="F23" s="110">
        <f t="shared" si="15"/>
        <v>3.1598143407640888E-2</v>
      </c>
      <c r="G23" s="111">
        <f>AVERAGE($D23:$F23)</f>
        <v>5.895533021166733E-2</v>
      </c>
      <c r="H23" s="111">
        <f t="shared" ref="H23:K23" si="16">AVERAGE($D23:$F23)</f>
        <v>5.895533021166733E-2</v>
      </c>
      <c r="I23" s="111">
        <f t="shared" si="16"/>
        <v>5.895533021166733E-2</v>
      </c>
      <c r="J23" s="111">
        <f t="shared" si="16"/>
        <v>5.895533021166733E-2</v>
      </c>
      <c r="K23" s="111">
        <f t="shared" si="16"/>
        <v>5.895533021166733E-2</v>
      </c>
    </row>
  </sheetData>
  <mergeCells count="1">
    <mergeCell ref="B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191A0-E96E-418C-82C5-60595991D056}">
  <dimension ref="B1:L10"/>
  <sheetViews>
    <sheetView showGridLines="0" workbookViewId="0">
      <selection activeCell="B2" sqref="B2"/>
    </sheetView>
  </sheetViews>
  <sheetFormatPr defaultRowHeight="14.4" x14ac:dyDescent="0.3"/>
  <cols>
    <col min="1" max="1" width="1.88671875" customWidth="1"/>
    <col min="2" max="2" width="30.21875" customWidth="1"/>
    <col min="3" max="3" width="10.44140625" bestFit="1" customWidth="1"/>
    <col min="4" max="4" width="13.6640625" customWidth="1"/>
    <col min="5" max="5" width="12.6640625" customWidth="1"/>
    <col min="6" max="6" width="12.44140625" customWidth="1"/>
    <col min="7" max="7" width="13.5546875" customWidth="1"/>
    <col min="8" max="8" width="14.77734375" customWidth="1"/>
    <col min="9" max="9" width="12.109375" customWidth="1"/>
    <col min="10" max="10" width="15.109375" customWidth="1"/>
    <col min="11" max="11" width="16.109375" customWidth="1"/>
  </cols>
  <sheetData>
    <row r="1" spans="2:12" x14ac:dyDescent="0.3">
      <c r="B1" s="230" t="s">
        <v>173</v>
      </c>
      <c r="C1" s="230"/>
      <c r="D1" s="230"/>
      <c r="E1" s="230"/>
      <c r="F1" s="230"/>
      <c r="G1" s="230"/>
      <c r="H1" s="230"/>
      <c r="I1" s="230"/>
      <c r="J1" s="230"/>
      <c r="K1" s="230"/>
    </row>
    <row r="2" spans="2:12" x14ac:dyDescent="0.3">
      <c r="B2" s="42" t="s">
        <v>268</v>
      </c>
      <c r="F2" s="28" t="s">
        <v>0</v>
      </c>
      <c r="J2" s="2" t="s">
        <v>1</v>
      </c>
    </row>
    <row r="3" spans="2:12" x14ac:dyDescent="0.3">
      <c r="B3" s="16" t="s">
        <v>173</v>
      </c>
      <c r="C3" s="16"/>
      <c r="D3" s="3">
        <v>44256</v>
      </c>
      <c r="E3" s="3">
        <v>44621</v>
      </c>
      <c r="F3" s="3">
        <v>44986</v>
      </c>
      <c r="G3" s="4">
        <v>45352</v>
      </c>
      <c r="H3" s="4">
        <v>45717</v>
      </c>
      <c r="I3" s="4">
        <v>46082</v>
      </c>
      <c r="J3" s="4">
        <v>46447</v>
      </c>
      <c r="K3" s="4">
        <v>46813</v>
      </c>
    </row>
    <row r="5" spans="2:12" x14ac:dyDescent="0.3">
      <c r="B5" s="2" t="s">
        <v>167</v>
      </c>
      <c r="D5" s="27">
        <f>C7</f>
        <v>113288</v>
      </c>
      <c r="E5" s="27">
        <f t="shared" ref="E5:K5" si="0">D7</f>
        <v>81900.899999999994</v>
      </c>
      <c r="F5" s="27">
        <f t="shared" si="0"/>
        <v>68828.679999999993</v>
      </c>
      <c r="G5" s="58">
        <f t="shared" si="0"/>
        <v>78017.33</v>
      </c>
      <c r="H5" s="58">
        <f t="shared" si="0"/>
        <v>79517.33</v>
      </c>
      <c r="I5" s="58">
        <f t="shared" si="0"/>
        <v>80517.33</v>
      </c>
      <c r="J5" s="58">
        <f t="shared" si="0"/>
        <v>81666.080000000002</v>
      </c>
      <c r="K5" s="58">
        <f t="shared" si="0"/>
        <v>82666.080000000002</v>
      </c>
    </row>
    <row r="6" spans="2:12" ht="15" thickBot="1" x14ac:dyDescent="0.35">
      <c r="B6" s="2" t="s">
        <v>174</v>
      </c>
      <c r="D6" s="116">
        <f>D7-D5</f>
        <v>-31387.100000000006</v>
      </c>
      <c r="E6" s="116">
        <f t="shared" ref="E6:F6" si="1">E7-E5</f>
        <v>-13072.220000000001</v>
      </c>
      <c r="F6" s="116">
        <f t="shared" si="1"/>
        <v>9188.6500000000087</v>
      </c>
      <c r="G6">
        <v>1500</v>
      </c>
      <c r="H6" s="61">
        <v>1000</v>
      </c>
      <c r="I6" s="61">
        <v>1148.75</v>
      </c>
      <c r="J6" s="61">
        <v>1000</v>
      </c>
      <c r="K6" s="61">
        <v>1200</v>
      </c>
    </row>
    <row r="7" spans="2:12" x14ac:dyDescent="0.3">
      <c r="B7" s="23" t="s">
        <v>175</v>
      </c>
      <c r="C7" s="170">
        <f>94104+19184</f>
        <v>113288</v>
      </c>
      <c r="D7" s="114">
        <f>72408.79+9492.11</f>
        <v>81900.899999999994</v>
      </c>
      <c r="E7" s="114">
        <f>44764.07+24064.61</f>
        <v>68828.679999999993</v>
      </c>
      <c r="F7" s="114">
        <f>51446.33+26571</f>
        <v>78017.33</v>
      </c>
      <c r="G7" s="115">
        <f>SUM(G5:G6)</f>
        <v>79517.33</v>
      </c>
      <c r="H7" s="115">
        <f>SUM(H5:H6)</f>
        <v>80517.33</v>
      </c>
      <c r="I7" s="115">
        <f t="shared" ref="I7:K7" si="2">SUM(I5:I6)</f>
        <v>81666.080000000002</v>
      </c>
      <c r="J7" s="115">
        <f t="shared" si="2"/>
        <v>82666.080000000002</v>
      </c>
      <c r="K7" s="115">
        <f t="shared" si="2"/>
        <v>83866.080000000002</v>
      </c>
    </row>
    <row r="8" spans="2:12" ht="15" thickBot="1" x14ac:dyDescent="0.35">
      <c r="D8" s="1"/>
      <c r="E8" s="1"/>
      <c r="F8" s="1"/>
    </row>
    <row r="9" spans="2:12" ht="15" thickTop="1" x14ac:dyDescent="0.3">
      <c r="B9" s="23" t="s">
        <v>176</v>
      </c>
      <c r="C9" s="33"/>
      <c r="D9" s="35">
        <f>'Income Statement '!D24</f>
        <v>7766</v>
      </c>
      <c r="E9" s="35">
        <f>'Income Statement '!E24</f>
        <v>5663</v>
      </c>
      <c r="F9" s="35">
        <f>'Income Statement '!F24</f>
        <v>6589</v>
      </c>
      <c r="G9" s="115">
        <f>G7*G10</f>
        <v>6932.6986980184311</v>
      </c>
      <c r="H9" s="115">
        <f t="shared" ref="H9:K9" si="3">H7*H10</f>
        <v>7019.883450046932</v>
      </c>
      <c r="I9" s="115">
        <f t="shared" si="3"/>
        <v>7045.7437396482683</v>
      </c>
      <c r="J9" s="115">
        <f t="shared" si="3"/>
        <v>7182.1540481649427</v>
      </c>
      <c r="K9" s="115">
        <f t="shared" si="3"/>
        <v>7277.9346878016486</v>
      </c>
    </row>
    <row r="10" spans="2:12" ht="15" thickBot="1" x14ac:dyDescent="0.35">
      <c r="B10" s="21" t="s">
        <v>177</v>
      </c>
      <c r="C10" s="22"/>
      <c r="D10" s="34">
        <f>D9/D7</f>
        <v>9.4821912823912807E-2</v>
      </c>
      <c r="E10" s="34">
        <f t="shared" ref="E10:F10" si="4">E9/E7</f>
        <v>8.2276748587943288E-2</v>
      </c>
      <c r="F10" s="34">
        <f t="shared" si="4"/>
        <v>8.445559467364494E-2</v>
      </c>
      <c r="G10" s="113">
        <f>AVERAGE(D10:F10)</f>
        <v>8.7184752028500345E-2</v>
      </c>
      <c r="H10" s="113">
        <f>AVERAGE(D10:G10)</f>
        <v>8.7184752028500345E-2</v>
      </c>
      <c r="I10" s="113">
        <f t="shared" ref="I10:K10" si="5">AVERAGE(F10:H10)</f>
        <v>8.627503291021521E-2</v>
      </c>
      <c r="J10" s="113">
        <f t="shared" si="5"/>
        <v>8.6881512322405305E-2</v>
      </c>
      <c r="K10" s="113">
        <f t="shared" si="5"/>
        <v>8.6780432420373629E-2</v>
      </c>
      <c r="L10" s="36"/>
    </row>
  </sheetData>
  <mergeCells count="1">
    <mergeCell ref="B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BE0A-82B2-4943-90A4-0FDEF6E73C0E}">
  <dimension ref="A2:N39"/>
  <sheetViews>
    <sheetView showGridLines="0" zoomScale="86" workbookViewId="0">
      <selection activeCell="R8" sqref="R8"/>
    </sheetView>
  </sheetViews>
  <sheetFormatPr defaultRowHeight="14.4" x14ac:dyDescent="0.3"/>
  <cols>
    <col min="1" max="1" width="2.88671875" customWidth="1"/>
    <col min="2" max="2" width="32.109375" bestFit="1" customWidth="1"/>
    <col min="3" max="3" width="2" customWidth="1"/>
    <col min="4" max="4" width="13.33203125" customWidth="1"/>
    <col min="5" max="5" width="16.33203125" customWidth="1"/>
    <col min="6" max="6" width="11.88671875" customWidth="1"/>
    <col min="7" max="7" width="10.6640625" customWidth="1"/>
    <col min="8" max="8" width="12.5546875" customWidth="1"/>
    <col min="9" max="9" width="7.6640625" customWidth="1"/>
    <col min="10" max="10" width="9.21875" customWidth="1"/>
    <col min="11" max="11" width="8.88671875" customWidth="1"/>
    <col min="13" max="13" width="15.109375" customWidth="1"/>
    <col min="14" max="14" width="0.5546875" customWidth="1"/>
  </cols>
  <sheetData>
    <row r="2" spans="1:14" x14ac:dyDescent="0.3">
      <c r="B2" s="230" t="s">
        <v>188</v>
      </c>
      <c r="C2" s="230"/>
      <c r="D2" s="230"/>
      <c r="E2" s="230"/>
      <c r="F2" s="230"/>
      <c r="G2" s="230"/>
      <c r="H2" s="230"/>
      <c r="I2" s="39"/>
      <c r="J2" s="39"/>
    </row>
    <row r="3" spans="1:14" x14ac:dyDescent="0.3">
      <c r="A3" s="64"/>
      <c r="B3" s="42" t="s">
        <v>268</v>
      </c>
      <c r="C3" s="38"/>
      <c r="D3" s="4">
        <v>45352</v>
      </c>
      <c r="E3" s="4">
        <v>45717</v>
      </c>
      <c r="F3" s="4">
        <v>46082</v>
      </c>
      <c r="G3" s="4">
        <v>46447</v>
      </c>
      <c r="H3" s="4">
        <v>46813</v>
      </c>
      <c r="I3" s="37"/>
      <c r="J3" s="37"/>
    </row>
    <row r="4" spans="1:14" ht="8.4" customHeight="1" x14ac:dyDescent="0.3">
      <c r="B4" s="37"/>
      <c r="C4" s="37"/>
      <c r="D4" s="37"/>
      <c r="E4" s="37"/>
      <c r="F4" s="37"/>
      <c r="G4" s="37"/>
      <c r="H4" s="37"/>
      <c r="I4" s="37"/>
      <c r="J4" s="43"/>
    </row>
    <row r="5" spans="1:14" x14ac:dyDescent="0.3">
      <c r="B5" t="s">
        <v>179</v>
      </c>
      <c r="D5" s="53">
        <f>'Income Statement '!G22</f>
        <v>66291.923213933755</v>
      </c>
      <c r="E5" s="53">
        <f>'Income Statement '!H22</f>
        <v>69744.992335527408</v>
      </c>
      <c r="F5" s="53">
        <f>'Income Statement '!I22</f>
        <v>73794.332472046211</v>
      </c>
      <c r="G5" s="53">
        <f>'Income Statement '!J22</f>
        <v>78519.354949951856</v>
      </c>
      <c r="H5" s="53">
        <f>'Income Statement '!K22</f>
        <v>84015.7097964485</v>
      </c>
      <c r="I5" s="53"/>
    </row>
    <row r="6" spans="1:14" ht="15" thickBot="1" x14ac:dyDescent="0.35">
      <c r="B6" t="s">
        <v>180</v>
      </c>
      <c r="D6" s="53">
        <f>-'Income Statement '!G25*D5</f>
        <v>-21743.750814170271</v>
      </c>
      <c r="E6" s="53">
        <f>-'Income Statement '!H25*E5</f>
        <v>-44636.795094737543</v>
      </c>
      <c r="F6" s="53">
        <f>-'Income Statement '!I25*F5</f>
        <v>-22138.299741613864</v>
      </c>
      <c r="G6" s="53">
        <f>-'Income Statement '!J25*G5</f>
        <v>-31433.915098297388</v>
      </c>
      <c r="H6" s="53">
        <f>-'Income Statement '!K25*H5</f>
        <v>-33634.289155178209</v>
      </c>
      <c r="I6" s="53"/>
    </row>
    <row r="7" spans="1:14" x14ac:dyDescent="0.3">
      <c r="B7" s="23" t="s">
        <v>181</v>
      </c>
      <c r="C7" s="33"/>
      <c r="D7" s="55">
        <f>SUM(D5:D6)</f>
        <v>44548.172399763484</v>
      </c>
      <c r="E7" s="55">
        <f t="shared" ref="E7:H7" si="0">SUM(E5:E6)</f>
        <v>25108.197240789865</v>
      </c>
      <c r="F7" s="55">
        <f t="shared" si="0"/>
        <v>51656.032730432344</v>
      </c>
      <c r="G7" s="55">
        <f t="shared" si="0"/>
        <v>47085.439851654468</v>
      </c>
      <c r="H7" s="55">
        <f t="shared" si="0"/>
        <v>50381.420641270292</v>
      </c>
      <c r="I7" s="53"/>
    </row>
    <row r="8" spans="1:14" x14ac:dyDescent="0.3">
      <c r="B8" t="s">
        <v>182</v>
      </c>
      <c r="D8" s="53">
        <f>'Income Statement '!G18</f>
        <v>8741.5886803639351</v>
      </c>
      <c r="E8" s="53">
        <f>'Income Statement '!H18</f>
        <v>9204.0015199750251</v>
      </c>
      <c r="F8" s="53">
        <f>'Income Statement '!I18</f>
        <v>9734.0457908833523</v>
      </c>
      <c r="G8" s="53">
        <f>'Income Statement '!J18</f>
        <v>10341.32609668958</v>
      </c>
      <c r="H8" s="53">
        <f>'Income Statement '!K18</f>
        <v>11037.362775922593</v>
      </c>
      <c r="I8" s="53"/>
    </row>
    <row r="9" spans="1:14" x14ac:dyDescent="0.3">
      <c r="B9" t="s">
        <v>183</v>
      </c>
      <c r="D9" s="53">
        <f>'Working Capital'!F17</f>
        <v>-10410.910723758672</v>
      </c>
      <c r="E9" s="53">
        <f>'Working Capital'!G17</f>
        <v>5304.0928090619709</v>
      </c>
      <c r="F9" s="53">
        <f>'Working Capital'!H17</f>
        <v>6021.7917420321028</v>
      </c>
      <c r="G9" s="53">
        <f>'Working Capital'!I17</f>
        <v>-3275.1968522335665</v>
      </c>
      <c r="H9" s="53">
        <f>'Working Capital'!J17</f>
        <v>1890.9583058224962</v>
      </c>
      <c r="I9" s="53"/>
    </row>
    <row r="10" spans="1:14" ht="15" thickBot="1" x14ac:dyDescent="0.35">
      <c r="B10" s="22" t="s">
        <v>184</v>
      </c>
      <c r="C10" s="22"/>
      <c r="D10" s="56">
        <f>-'Fixed Assets'!G7</f>
        <v>-8590.7682915211626</v>
      </c>
      <c r="E10" s="56">
        <f>-'Fixed Assets'!H7</f>
        <v>-14495.064342751517</v>
      </c>
      <c r="F10" s="56">
        <f>-'Fixed Assets'!I7</f>
        <v>-16049.636395530062</v>
      </c>
      <c r="G10" s="56">
        <f>-'Fixed Assets'!J7</f>
        <v>-17827.427584611578</v>
      </c>
      <c r="H10" s="56">
        <f>-'Fixed Assets'!K7</f>
        <v>-19869.039212789939</v>
      </c>
      <c r="I10" s="53"/>
    </row>
    <row r="11" spans="1:14" x14ac:dyDescent="0.3">
      <c r="B11" s="36" t="s">
        <v>185</v>
      </c>
      <c r="D11" s="53">
        <f>D7+D8-(D9)+(D10)</f>
        <v>55109.90351236493</v>
      </c>
      <c r="E11" s="53">
        <f>E7+E8-E9+E10</f>
        <v>14513.041608951404</v>
      </c>
      <c r="F11" s="53">
        <f t="shared" ref="F11:H11" si="1">F7+F8-(F9)+(F10)</f>
        <v>39318.650383753527</v>
      </c>
      <c r="G11" s="53">
        <f t="shared" si="1"/>
        <v>42874.53521596604</v>
      </c>
      <c r="H11" s="53">
        <f t="shared" si="1"/>
        <v>39658.785898580449</v>
      </c>
      <c r="J11" s="11"/>
      <c r="K11" s="11"/>
      <c r="L11" s="11"/>
      <c r="M11" s="11"/>
      <c r="N11" s="11"/>
    </row>
    <row r="12" spans="1:14" x14ac:dyDescent="0.3">
      <c r="B12" s="36" t="s">
        <v>191</v>
      </c>
      <c r="D12">
        <v>0</v>
      </c>
      <c r="E12">
        <v>0.5</v>
      </c>
      <c r="F12">
        <f>E12+1</f>
        <v>1.5</v>
      </c>
      <c r="G12">
        <f t="shared" ref="G12:H12" si="2">F12+1</f>
        <v>2.5</v>
      </c>
      <c r="H12">
        <f t="shared" si="2"/>
        <v>3.5</v>
      </c>
    </row>
    <row r="13" spans="1:14" x14ac:dyDescent="0.3">
      <c r="B13" t="s">
        <v>186</v>
      </c>
      <c r="D13" s="13">
        <f>1/(1+$D$19)^D12</f>
        <v>1</v>
      </c>
      <c r="E13" s="13">
        <f>1/(1+$D$19)^E12</f>
        <v>0.92170622716414963</v>
      </c>
      <c r="F13" s="13">
        <f>1/(1+$D$19)^F12</f>
        <v>0.78302849192513069</v>
      </c>
      <c r="G13" s="13">
        <f>1/(1+$D$19)^G12</f>
        <v>0.66521588017583133</v>
      </c>
      <c r="H13" s="13">
        <f>1/(1+$D$19)^H12</f>
        <v>0.56512907486949626</v>
      </c>
      <c r="K13" s="57"/>
    </row>
    <row r="14" spans="1:14" x14ac:dyDescent="0.3">
      <c r="B14" s="36"/>
      <c r="D14" s="13"/>
      <c r="E14" s="13"/>
      <c r="F14" s="13"/>
      <c r="G14" s="13"/>
      <c r="H14" s="13"/>
    </row>
    <row r="15" spans="1:14" ht="15" thickBot="1" x14ac:dyDescent="0.35">
      <c r="B15" s="50" t="s">
        <v>192</v>
      </c>
      <c r="C15" s="51"/>
      <c r="D15" s="54">
        <f>D11*D13</f>
        <v>55109.90351236493</v>
      </c>
      <c r="E15" s="54">
        <f t="shared" ref="E15:H15" si="3">E11*E13</f>
        <v>13376.760826062919</v>
      </c>
      <c r="F15" s="54">
        <f t="shared" si="3"/>
        <v>30787.623514521987</v>
      </c>
      <c r="G15" s="54">
        <f t="shared" si="3"/>
        <v>28520.821680818524</v>
      </c>
      <c r="H15" s="54">
        <f t="shared" si="3"/>
        <v>22412.332985312194</v>
      </c>
      <c r="I15" s="171" t="s">
        <v>206</v>
      </c>
      <c r="J15" s="172">
        <f>SUM(D15:H15)</f>
        <v>150207.44251908053</v>
      </c>
    </row>
    <row r="16" spans="1:14" ht="15" thickTop="1" x14ac:dyDescent="0.3"/>
    <row r="17" spans="2:12" x14ac:dyDescent="0.3">
      <c r="B17" s="44" t="s">
        <v>189</v>
      </c>
      <c r="C17" s="44"/>
      <c r="D17" s="52">
        <v>0.1075</v>
      </c>
    </row>
    <row r="18" spans="2:12" x14ac:dyDescent="0.3">
      <c r="B18" s="44" t="s">
        <v>190</v>
      </c>
      <c r="C18" s="44"/>
      <c r="D18" s="52">
        <v>5.3800000000000001E-2</v>
      </c>
      <c r="I18" s="53"/>
    </row>
    <row r="19" spans="2:12" x14ac:dyDescent="0.3">
      <c r="B19" s="44" t="s">
        <v>139</v>
      </c>
      <c r="C19" s="44"/>
      <c r="D19" s="45">
        <f>WACC!J31</f>
        <v>0.17710432847477861</v>
      </c>
    </row>
    <row r="20" spans="2:12" x14ac:dyDescent="0.3">
      <c r="B20" s="40"/>
      <c r="C20" s="40"/>
      <c r="D20" s="41"/>
      <c r="E20" s="40"/>
    </row>
    <row r="21" spans="2:12" x14ac:dyDescent="0.3">
      <c r="B21" s="165" t="s">
        <v>187</v>
      </c>
      <c r="C21" s="165"/>
      <c r="D21" s="167">
        <f>J15</f>
        <v>150207.44251908053</v>
      </c>
      <c r="F21" s="230" t="s">
        <v>252</v>
      </c>
      <c r="G21" s="230"/>
      <c r="H21" s="178"/>
      <c r="I21" s="178"/>
      <c r="J21" s="178"/>
      <c r="K21" s="178"/>
    </row>
    <row r="22" spans="2:12" x14ac:dyDescent="0.3">
      <c r="F22" s="173">
        <f>D39</f>
        <v>344.92199056461033</v>
      </c>
      <c r="G22" s="175">
        <v>0.09</v>
      </c>
      <c r="H22" s="175">
        <f>G22+1%</f>
        <v>9.9999999999999992E-2</v>
      </c>
      <c r="I22" s="175">
        <f t="shared" ref="I22:K22" si="4">H22+1%</f>
        <v>0.10999999999999999</v>
      </c>
      <c r="J22" s="175">
        <f t="shared" si="4"/>
        <v>0.11999999999999998</v>
      </c>
      <c r="K22" s="175">
        <f t="shared" si="4"/>
        <v>0.12999999999999998</v>
      </c>
      <c r="L22" s="121"/>
    </row>
    <row r="23" spans="2:12" x14ac:dyDescent="0.3">
      <c r="B23" s="2" t="s">
        <v>202</v>
      </c>
      <c r="D23" s="63">
        <f>H11*(1+D17)</f>
        <v>43922.105382677844</v>
      </c>
      <c r="F23" s="174">
        <v>0.03</v>
      </c>
      <c r="G23" s="176">
        <f t="dataTable" ref="G23:K27" dt2D="1" dtr="1" r1="D17" r2="D18"/>
        <v>316.69656532797239</v>
      </c>
      <c r="H23" s="176">
        <v>317.91703010153287</v>
      </c>
      <c r="I23" s="176">
        <v>319.13749487509341</v>
      </c>
      <c r="J23" s="176">
        <v>320.35795964865389</v>
      </c>
      <c r="K23" s="176">
        <v>321.57842442221443</v>
      </c>
    </row>
    <row r="24" spans="2:12" x14ac:dyDescent="0.3">
      <c r="B24" s="2" t="str">
        <f>B19</f>
        <v>WACC</v>
      </c>
      <c r="D24" s="11">
        <f>D19</f>
        <v>0.17710432847477861</v>
      </c>
      <c r="F24" s="174">
        <f>F23+1%</f>
        <v>0.04</v>
      </c>
      <c r="G24" s="176">
        <v>326.39944355202255</v>
      </c>
      <c r="H24" s="176">
        <v>327.70892555699641</v>
      </c>
      <c r="I24" s="176">
        <v>329.01840756197015</v>
      </c>
      <c r="J24" s="176">
        <v>330.32788956694395</v>
      </c>
      <c r="K24" s="176">
        <v>331.63737157191775</v>
      </c>
    </row>
    <row r="25" spans="2:12" x14ac:dyDescent="0.3">
      <c r="B25" s="2" t="str">
        <f>B18</f>
        <v>Terminal Growth</v>
      </c>
      <c r="C25" s="2"/>
      <c r="D25" s="11">
        <f>D18</f>
        <v>5.3800000000000001E-2</v>
      </c>
      <c r="F25" s="174">
        <f t="shared" ref="F25:F27" si="5">F24+1%</f>
        <v>0.05</v>
      </c>
      <c r="G25" s="176">
        <v>337.62907988737896</v>
      </c>
      <c r="H25" s="176">
        <v>339.04158607891571</v>
      </c>
      <c r="I25" s="176">
        <v>340.45409227045241</v>
      </c>
      <c r="J25" s="176">
        <v>341.8665984619891</v>
      </c>
      <c r="K25" s="176">
        <v>343.27910465352585</v>
      </c>
    </row>
    <row r="26" spans="2:12" x14ac:dyDescent="0.3">
      <c r="B26" s="46" t="s">
        <v>193</v>
      </c>
      <c r="C26" s="46"/>
      <c r="D26" s="47">
        <f>D23/(D24-D25)</f>
        <v>356208.95005045936</v>
      </c>
      <c r="F26" s="174">
        <f t="shared" si="5"/>
        <v>6.0000000000000005E-2</v>
      </c>
      <c r="G26" s="176">
        <v>350.77660200571484</v>
      </c>
      <c r="H26" s="176">
        <v>352.3097276662271</v>
      </c>
      <c r="I26" s="176">
        <v>353.84285332673932</v>
      </c>
      <c r="J26" s="176">
        <v>355.37597898725159</v>
      </c>
      <c r="K26" s="176">
        <v>356.90910464776385</v>
      </c>
    </row>
    <row r="27" spans="2:12" x14ac:dyDescent="0.3">
      <c r="B27" s="2"/>
      <c r="C27" s="2"/>
      <c r="D27" s="11"/>
      <c r="F27" s="174">
        <f t="shared" si="5"/>
        <v>7.0000000000000007E-2</v>
      </c>
      <c r="G27" s="176">
        <v>366.37921110429943</v>
      </c>
      <c r="H27" s="176">
        <v>368.05547996755098</v>
      </c>
      <c r="I27" s="176">
        <v>369.73174883080253</v>
      </c>
      <c r="J27" s="176">
        <v>371.40801769405408</v>
      </c>
      <c r="K27" s="176">
        <v>373.08428655730569</v>
      </c>
    </row>
    <row r="28" spans="2:12" x14ac:dyDescent="0.3">
      <c r="B28" s="165" t="s">
        <v>204</v>
      </c>
      <c r="C28" s="166"/>
      <c r="D28" s="166"/>
    </row>
    <row r="29" spans="2:12" x14ac:dyDescent="0.3">
      <c r="B29" t="s">
        <v>203</v>
      </c>
      <c r="D29" s="58">
        <f>J15</f>
        <v>150207.44251908053</v>
      </c>
    </row>
    <row r="30" spans="2:12" x14ac:dyDescent="0.3">
      <c r="B30" t="s">
        <v>205</v>
      </c>
      <c r="D30" s="58">
        <f>D26*H13</f>
        <v>201304.03440225069</v>
      </c>
    </row>
    <row r="31" spans="2:12" x14ac:dyDescent="0.3">
      <c r="D31" s="58"/>
    </row>
    <row r="32" spans="2:12" x14ac:dyDescent="0.3">
      <c r="B32" s="2" t="s">
        <v>194</v>
      </c>
      <c r="D32" s="59">
        <f>SUM(D29:D31)</f>
        <v>351511.47692133125</v>
      </c>
    </row>
    <row r="33" spans="2:4" ht="15" thickBot="1" x14ac:dyDescent="0.35">
      <c r="B33" s="22" t="s">
        <v>195</v>
      </c>
      <c r="C33" s="22"/>
      <c r="D33" s="60">
        <f>12129+1227</f>
        <v>13356</v>
      </c>
    </row>
    <row r="34" spans="2:4" x14ac:dyDescent="0.3">
      <c r="B34" s="2" t="s">
        <v>196</v>
      </c>
      <c r="D34" s="61">
        <f>SUM(D32:D33)</f>
        <v>364867.47692133125</v>
      </c>
    </row>
    <row r="35" spans="2:4" x14ac:dyDescent="0.3">
      <c r="B35" t="s">
        <v>197</v>
      </c>
      <c r="D35" s="58">
        <f>WACC!D6</f>
        <v>67809</v>
      </c>
    </row>
    <row r="36" spans="2:4" ht="15" thickBot="1" x14ac:dyDescent="0.35">
      <c r="B36" s="22" t="s">
        <v>198</v>
      </c>
      <c r="C36" s="22"/>
      <c r="D36" s="60">
        <v>-2093.11</v>
      </c>
    </row>
    <row r="37" spans="2:4" x14ac:dyDescent="0.3">
      <c r="B37" s="2" t="s">
        <v>199</v>
      </c>
      <c r="D37" s="58">
        <f>SUM(D34:D36)</f>
        <v>430583.36692133127</v>
      </c>
    </row>
    <row r="38" spans="2:4" x14ac:dyDescent="0.3">
      <c r="B38" t="s">
        <v>200</v>
      </c>
      <c r="D38" s="62">
        <v>1248.3499999999999</v>
      </c>
    </row>
    <row r="39" spans="2:4" x14ac:dyDescent="0.3">
      <c r="B39" s="40" t="s">
        <v>201</v>
      </c>
      <c r="C39" s="64"/>
      <c r="D39" s="160">
        <f>D37/D38</f>
        <v>344.92199056461033</v>
      </c>
    </row>
  </sheetData>
  <mergeCells count="2">
    <mergeCell ref="B2:H2"/>
    <mergeCell ref="F21:G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4456-F9E5-4FF7-AEC1-D5A7813B1A50}">
  <dimension ref="A1:Q32"/>
  <sheetViews>
    <sheetView showGridLines="0" workbookViewId="0">
      <selection activeCell="Q4" sqref="Q4"/>
    </sheetView>
  </sheetViews>
  <sheetFormatPr defaultRowHeight="14.4" x14ac:dyDescent="0.3"/>
  <cols>
    <col min="1" max="1" width="1.88671875" customWidth="1"/>
    <col min="2" max="2" width="13.88671875" customWidth="1"/>
    <col min="3" max="3" width="10.5546875" customWidth="1"/>
    <col min="6" max="6" width="11.33203125" bestFit="1" customWidth="1"/>
    <col min="7" max="7" width="9.88671875" bestFit="1" customWidth="1"/>
    <col min="8" max="8" width="10.109375" customWidth="1"/>
    <col min="9" max="9" width="3.6640625" customWidth="1"/>
    <col min="10" max="10" width="11.33203125" bestFit="1" customWidth="1"/>
    <col min="11" max="11" width="9.88671875" bestFit="1" customWidth="1"/>
    <col min="12" max="12" width="10.21875" customWidth="1"/>
    <col min="13" max="13" width="3.44140625" customWidth="1"/>
    <col min="14" max="15" width="11.33203125" bestFit="1" customWidth="1"/>
    <col min="16" max="16" width="10.21875" customWidth="1"/>
  </cols>
  <sheetData>
    <row r="1" spans="1:16" ht="18" x14ac:dyDescent="0.35">
      <c r="B1" s="205" t="s">
        <v>297</v>
      </c>
      <c r="C1" s="204"/>
      <c r="D1" s="204"/>
      <c r="E1" s="204"/>
      <c r="F1" s="204"/>
      <c r="G1" s="204"/>
      <c r="H1" s="204"/>
      <c r="I1" s="204"/>
      <c r="J1" s="204"/>
      <c r="K1" s="204"/>
      <c r="L1" s="204"/>
      <c r="M1" s="204"/>
      <c r="N1" s="204"/>
      <c r="O1" s="204"/>
      <c r="P1" s="204"/>
    </row>
    <row r="2" spans="1:16" ht="18" x14ac:dyDescent="0.35">
      <c r="B2" s="227"/>
      <c r="C2" s="228"/>
      <c r="D2" s="228"/>
      <c r="E2" s="228"/>
      <c r="F2" s="228"/>
      <c r="G2" s="228"/>
      <c r="H2" s="228"/>
      <c r="I2" s="228"/>
      <c r="J2" s="228"/>
      <c r="K2" s="228"/>
      <c r="L2" s="228"/>
      <c r="M2" s="228"/>
      <c r="N2" s="228"/>
      <c r="O2" s="228"/>
      <c r="P2" s="228"/>
    </row>
    <row r="3" spans="1:16" ht="18" x14ac:dyDescent="0.35">
      <c r="B3" s="227"/>
      <c r="C3" s="228"/>
      <c r="D3" s="228"/>
      <c r="E3" s="228"/>
      <c r="F3" s="228"/>
      <c r="G3" s="228"/>
      <c r="H3" s="228"/>
      <c r="I3" s="228"/>
      <c r="J3" s="228"/>
      <c r="K3" s="228"/>
      <c r="L3" s="228"/>
      <c r="M3" s="228"/>
      <c r="N3" s="228"/>
      <c r="O3" s="228"/>
      <c r="P3" s="228"/>
    </row>
    <row r="4" spans="1:16" ht="18" x14ac:dyDescent="0.35">
      <c r="B4" s="227"/>
      <c r="C4" s="228"/>
      <c r="D4" s="228"/>
      <c r="E4" s="228"/>
      <c r="F4" s="228"/>
      <c r="G4" s="228"/>
      <c r="H4" s="228"/>
      <c r="I4" s="228"/>
      <c r="J4" s="228"/>
      <c r="K4" s="228"/>
      <c r="L4" s="228"/>
      <c r="M4" s="228"/>
      <c r="N4" s="228"/>
      <c r="O4" s="228"/>
      <c r="P4" s="228"/>
    </row>
    <row r="5" spans="1:16" x14ac:dyDescent="0.3">
      <c r="B5" s="42" t="s">
        <v>268</v>
      </c>
    </row>
    <row r="6" spans="1:16" x14ac:dyDescent="0.3">
      <c r="B6" s="165"/>
      <c r="C6" s="165"/>
      <c r="D6" s="231" t="s">
        <v>253</v>
      </c>
      <c r="E6" s="231"/>
      <c r="F6" s="231"/>
      <c r="G6" s="231"/>
      <c r="H6" s="231"/>
      <c r="I6" s="165"/>
      <c r="J6" s="231" t="s">
        <v>254</v>
      </c>
      <c r="K6" s="231"/>
      <c r="L6" s="231"/>
      <c r="M6" s="165"/>
      <c r="N6" s="231" t="s">
        <v>255</v>
      </c>
      <c r="O6" s="231"/>
      <c r="P6" s="231"/>
    </row>
    <row r="7" spans="1:16" ht="42" customHeight="1" x14ac:dyDescent="0.3">
      <c r="B7" s="230" t="s">
        <v>256</v>
      </c>
      <c r="C7" s="230"/>
      <c r="D7" s="179" t="s">
        <v>257</v>
      </c>
      <c r="E7" s="179" t="s">
        <v>258</v>
      </c>
      <c r="F7" s="179" t="s">
        <v>259</v>
      </c>
      <c r="G7" s="179" t="s">
        <v>260</v>
      </c>
      <c r="H7" s="179" t="s">
        <v>261</v>
      </c>
      <c r="I7" s="180"/>
      <c r="J7" s="180" t="s">
        <v>262</v>
      </c>
      <c r="K7" s="180" t="s">
        <v>263</v>
      </c>
      <c r="L7" s="180" t="s">
        <v>264</v>
      </c>
      <c r="M7" s="180"/>
      <c r="N7" s="180" t="s">
        <v>265</v>
      </c>
      <c r="O7" s="180" t="s">
        <v>266</v>
      </c>
      <c r="P7" s="177" t="s">
        <v>267</v>
      </c>
    </row>
    <row r="8" spans="1:16" ht="6.6" customHeight="1" x14ac:dyDescent="0.3"/>
    <row r="9" spans="1:16" x14ac:dyDescent="0.3">
      <c r="B9" s="65" t="str">
        <f>'Peer data '!C4</f>
        <v>JSW Steel</v>
      </c>
      <c r="C9" s="65"/>
      <c r="D9" s="188">
        <f>'Peer data '!D4</f>
        <v>748.35</v>
      </c>
      <c r="E9" s="188">
        <f>'Peer data '!E4</f>
        <v>244.55</v>
      </c>
      <c r="F9" s="187">
        <f>E9*D9</f>
        <v>183008.99250000002</v>
      </c>
      <c r="G9" s="188">
        <f>'Peer data '!I4</f>
        <v>82910</v>
      </c>
      <c r="H9" s="188">
        <f>'Peer data '!J4</f>
        <v>265918.99250000005</v>
      </c>
      <c r="I9" s="65"/>
      <c r="J9" s="188">
        <f>'Peer data '!K4</f>
        <v>170836</v>
      </c>
      <c r="K9" s="189">
        <f>'Peer data '!L4</f>
        <v>5837</v>
      </c>
      <c r="L9" s="188">
        <f>'Peer data '!N4</f>
        <v>5043</v>
      </c>
      <c r="M9" s="65"/>
      <c r="N9" s="190">
        <f>$H9/J9</f>
        <v>1.55657468273666</v>
      </c>
      <c r="O9" s="190">
        <f>$H9/K9</f>
        <v>45.55747687168067</v>
      </c>
      <c r="P9" s="190">
        <f>F9/L9</f>
        <v>36.289707019631173</v>
      </c>
    </row>
    <row r="10" spans="1:16" x14ac:dyDescent="0.3">
      <c r="A10" s="64"/>
      <c r="B10" s="118" t="str">
        <f>'Peer data '!C5</f>
        <v>Tata Steel</v>
      </c>
      <c r="C10" s="118"/>
      <c r="D10" s="192">
        <f>'Peer data '!D5</f>
        <v>133.97999999999999</v>
      </c>
      <c r="E10" s="192">
        <f>'Peer data '!E5</f>
        <v>1248.3499999999999</v>
      </c>
      <c r="F10" s="191">
        <f t="shared" ref="F10:F15" si="0">E10*D10</f>
        <v>167253.93299999996</v>
      </c>
      <c r="G10" s="192">
        <f>'Peer data '!I5</f>
        <v>90714.04</v>
      </c>
      <c r="H10" s="192">
        <f>'Peer data '!J5</f>
        <v>257967.97299999997</v>
      </c>
      <c r="I10" s="118"/>
      <c r="J10" s="192">
        <f>'Peer data '!K5</f>
        <v>222675.29</v>
      </c>
      <c r="K10" s="193" t="str">
        <f>'Peer data '!L5</f>
        <v> 6,822 </v>
      </c>
      <c r="L10" s="192">
        <f>'Peer data '!N5</f>
        <v>2754.11</v>
      </c>
      <c r="M10" s="118"/>
      <c r="N10" s="194">
        <f t="shared" ref="N10:N15" si="1">$H10/J10</f>
        <v>1.1584939352722969</v>
      </c>
      <c r="O10" s="194">
        <v>36.880000000000003</v>
      </c>
      <c r="P10" s="194">
        <f t="shared" ref="P10:P15" si="2">F10/L10</f>
        <v>60.728849973312599</v>
      </c>
    </row>
    <row r="11" spans="1:16" x14ac:dyDescent="0.3">
      <c r="B11" s="65" t="str">
        <f>'Peer data '!C6</f>
        <v>Tube Investments</v>
      </c>
      <c r="C11" s="65"/>
      <c r="D11" s="188">
        <f>'Peer data '!D6</f>
        <v>3390.2</v>
      </c>
      <c r="E11" s="188">
        <f>'Peer data '!E6</f>
        <v>19.350000000000001</v>
      </c>
      <c r="F11" s="187">
        <f t="shared" si="0"/>
        <v>65600.37</v>
      </c>
      <c r="G11" s="188">
        <f>'Peer data '!I6</f>
        <v>-528.48000000000013</v>
      </c>
      <c r="H11" s="188">
        <f>'Peer data '!J6</f>
        <v>65071.889999999992</v>
      </c>
      <c r="I11" s="65"/>
      <c r="J11" s="188">
        <f>'Peer data '!K6</f>
        <v>18189.52</v>
      </c>
      <c r="K11" s="189">
        <f>'Peer data '!L6</f>
        <v>2201.21</v>
      </c>
      <c r="L11" s="188">
        <f>'Peer data '!N6</f>
        <v>1712.15</v>
      </c>
      <c r="M11" s="65"/>
      <c r="N11" s="190">
        <f t="shared" si="1"/>
        <v>3.5774385470314769</v>
      </c>
      <c r="O11" s="190">
        <f t="shared" ref="O11:O14" si="3">$H11/K11</f>
        <v>29.561872788148332</v>
      </c>
      <c r="P11" s="190">
        <f t="shared" si="2"/>
        <v>38.314616125923543</v>
      </c>
    </row>
    <row r="12" spans="1:16" x14ac:dyDescent="0.3">
      <c r="B12" s="65" t="str">
        <f>'Peer data '!C7</f>
        <v>Jindal Stain.</v>
      </c>
      <c r="C12" s="65"/>
      <c r="D12" s="188">
        <f>'Peer data '!D7</f>
        <v>493.75</v>
      </c>
      <c r="E12" s="188">
        <f>'Peer data '!E7</f>
        <v>82.38</v>
      </c>
      <c r="F12" s="187">
        <f t="shared" si="0"/>
        <v>40675.125</v>
      </c>
      <c r="G12" s="188">
        <f>'Peer data '!I7</f>
        <v>4484.97</v>
      </c>
      <c r="H12" s="188">
        <f>'Peer data '!J7</f>
        <v>45160.095000000001</v>
      </c>
      <c r="I12" s="65"/>
      <c r="J12" s="188">
        <f>'Peer data '!K7</f>
        <v>37788.06</v>
      </c>
      <c r="K12" s="189">
        <f>'Peer data '!L7</f>
        <v>4036</v>
      </c>
      <c r="L12" s="188">
        <f>'Peer data '!N7</f>
        <v>2447.36</v>
      </c>
      <c r="M12" s="65"/>
      <c r="N12" s="190">
        <f t="shared" si="1"/>
        <v>1.1950890043045344</v>
      </c>
      <c r="O12" s="190">
        <f t="shared" si="3"/>
        <v>11.189319871159563</v>
      </c>
      <c r="P12" s="190">
        <f t="shared" si="2"/>
        <v>16.6200007354864</v>
      </c>
    </row>
    <row r="13" spans="1:16" x14ac:dyDescent="0.3">
      <c r="B13" s="65" t="str">
        <f>'Peer data '!C8</f>
        <v>S A I L</v>
      </c>
      <c r="C13" s="65"/>
      <c r="D13" s="188">
        <f>'Peer data '!D8</f>
        <v>91.18</v>
      </c>
      <c r="E13" s="188">
        <f>'Peer data '!E8</f>
        <v>413.05</v>
      </c>
      <c r="F13" s="187">
        <f t="shared" si="0"/>
        <v>37661.899000000005</v>
      </c>
      <c r="G13" s="188">
        <f>'Peer data '!I8</f>
        <v>40592.080000000002</v>
      </c>
      <c r="H13" s="188">
        <f>'Peer data '!J8</f>
        <v>78253.979000000007</v>
      </c>
      <c r="I13" s="65"/>
      <c r="J13" s="188">
        <f>'Peer data '!K8</f>
        <v>99980.17</v>
      </c>
      <c r="K13" s="189">
        <f>'Peer data '!L8</f>
        <v>11375.43</v>
      </c>
      <c r="L13" s="188">
        <f>'Peer data '!N8</f>
        <v>2527.5300000000002</v>
      </c>
      <c r="M13" s="65"/>
      <c r="N13" s="190">
        <f t="shared" si="1"/>
        <v>0.78269499841818646</v>
      </c>
      <c r="O13" s="190">
        <f t="shared" si="3"/>
        <v>6.8792106320376467</v>
      </c>
      <c r="P13" s="190">
        <f t="shared" si="2"/>
        <v>14.900673384687819</v>
      </c>
    </row>
    <row r="14" spans="1:16" ht="13.8" customHeight="1" x14ac:dyDescent="0.3">
      <c r="B14" s="65" t="str">
        <f>'Peer data '!C9</f>
        <v>APL Apollo Tubes</v>
      </c>
      <c r="C14" s="65"/>
      <c r="D14" s="188">
        <f>'Peer data '!D9</f>
        <v>1373.9</v>
      </c>
      <c r="E14" s="188">
        <f>'Peer data '!E9</f>
        <v>27.75</v>
      </c>
      <c r="F14" s="187">
        <f t="shared" si="0"/>
        <v>38125.725000000006</v>
      </c>
      <c r="G14" s="188">
        <f>'Peer data '!I9</f>
        <v>674.99</v>
      </c>
      <c r="H14" s="188">
        <f>'Peer data '!J9</f>
        <v>38800.715000000004</v>
      </c>
      <c r="I14" s="65"/>
      <c r="J14" s="188">
        <f>'Peer data '!K9</f>
        <v>19946.68</v>
      </c>
      <c r="K14" s="189">
        <f>'Peer data '!L9</f>
        <v>1267</v>
      </c>
      <c r="L14" s="188">
        <f>'Peer data '!N9</f>
        <v>634.39</v>
      </c>
      <c r="M14" s="65"/>
      <c r="N14" s="190">
        <f t="shared" si="1"/>
        <v>1.945221711081744</v>
      </c>
      <c r="O14" s="190">
        <f t="shared" si="3"/>
        <v>30.624084451460146</v>
      </c>
      <c r="P14" s="190">
        <f t="shared" si="2"/>
        <v>60.098243982408306</v>
      </c>
    </row>
    <row r="15" spans="1:16" x14ac:dyDescent="0.3">
      <c r="B15" s="65" t="str">
        <f>'Peer data '!C10</f>
        <v>Shyam Metalics</v>
      </c>
      <c r="C15" s="65"/>
      <c r="D15" s="188">
        <f>'Peer data '!D10</f>
        <v>512.4</v>
      </c>
      <c r="E15" s="188">
        <f>'Peer data '!E10</f>
        <v>27.91</v>
      </c>
      <c r="F15" s="187">
        <f t="shared" si="0"/>
        <v>14301.083999999999</v>
      </c>
      <c r="G15" s="188">
        <f>'Peer data '!I10</f>
        <v>1035.6600000000001</v>
      </c>
      <c r="H15" s="188">
        <f>'Peer data '!J10</f>
        <v>15336.744000000001</v>
      </c>
      <c r="I15" s="65"/>
      <c r="J15" s="188">
        <f>'Peer data '!K10</f>
        <v>14167.12</v>
      </c>
      <c r="K15" s="189" t="str">
        <f>'Peer data '!L10</f>
        <v> 1,587 </v>
      </c>
      <c r="L15" s="188">
        <f>'Peer data '!N10</f>
        <v>839.54</v>
      </c>
      <c r="M15" s="65"/>
      <c r="N15" s="190">
        <f t="shared" si="1"/>
        <v>1.0825590522279758</v>
      </c>
      <c r="O15" s="190">
        <v>15.06</v>
      </c>
      <c r="P15" s="190">
        <f t="shared" si="2"/>
        <v>17.03442837744479</v>
      </c>
    </row>
    <row r="17" spans="2:17" x14ac:dyDescent="0.3">
      <c r="B17" s="195" t="s">
        <v>289</v>
      </c>
      <c r="C17" s="195"/>
      <c r="D17" s="195"/>
      <c r="E17" s="195"/>
      <c r="F17" s="195"/>
      <c r="G17" s="195"/>
      <c r="H17" s="195"/>
      <c r="I17" s="195"/>
      <c r="J17" s="195"/>
      <c r="K17" s="195"/>
      <c r="L17" s="195"/>
      <c r="M17" s="195"/>
      <c r="N17" s="196">
        <f>MAX(N9:N15)</f>
        <v>3.5774385470314769</v>
      </c>
      <c r="O17" s="196">
        <f>MAX(P6:P15)</f>
        <v>60.728849973312599</v>
      </c>
      <c r="P17" s="196">
        <f>MAX(P9:P15)</f>
        <v>60.728849973312599</v>
      </c>
    </row>
    <row r="18" spans="2:17" x14ac:dyDescent="0.3">
      <c r="B18" s="195" t="s">
        <v>290</v>
      </c>
      <c r="C18" s="195"/>
      <c r="D18" s="195"/>
      <c r="E18" s="195"/>
      <c r="F18" s="195"/>
      <c r="G18" s="195"/>
      <c r="H18" s="195"/>
      <c r="I18" s="195"/>
      <c r="J18" s="195"/>
      <c r="K18" s="195"/>
      <c r="L18" s="195"/>
      <c r="M18" s="195"/>
      <c r="N18" s="196">
        <f>QUARTILE(N9:N15,3)</f>
        <v>1.7508981969092021</v>
      </c>
      <c r="O18" s="196">
        <f>QUARTILE(O9:O15,3)</f>
        <v>33.752042225730072</v>
      </c>
      <c r="P18" s="196">
        <f>QUARTILE(P9:P15,3)</f>
        <v>49.206430054165921</v>
      </c>
    </row>
    <row r="19" spans="2:17" x14ac:dyDescent="0.3">
      <c r="B19" s="197" t="s">
        <v>232</v>
      </c>
      <c r="C19" s="197"/>
      <c r="D19" s="197"/>
      <c r="E19" s="197"/>
      <c r="F19" s="197"/>
      <c r="G19" s="197"/>
      <c r="H19" s="197"/>
      <c r="I19" s="197"/>
      <c r="J19" s="197"/>
      <c r="K19" s="197"/>
      <c r="L19" s="197"/>
      <c r="M19" s="197"/>
      <c r="N19" s="198">
        <f>AVERAGE(N9:N15)</f>
        <v>1.6140102758675536</v>
      </c>
      <c r="O19" s="198">
        <f t="shared" ref="O19:P19" si="4">AVERAGE(O9:O15)</f>
        <v>25.107423516355194</v>
      </c>
      <c r="P19" s="198">
        <f t="shared" si="4"/>
        <v>34.855217085556376</v>
      </c>
    </row>
    <row r="20" spans="2:17" x14ac:dyDescent="0.3">
      <c r="B20" s="197" t="s">
        <v>233</v>
      </c>
      <c r="C20" s="197"/>
      <c r="D20" s="197"/>
      <c r="E20" s="197"/>
      <c r="F20" s="197"/>
      <c r="G20" s="197"/>
      <c r="H20" s="197"/>
      <c r="I20" s="197"/>
      <c r="J20" s="197"/>
      <c r="K20" s="197"/>
      <c r="L20" s="197"/>
      <c r="M20" s="197"/>
      <c r="N20" s="198">
        <f>MEDIAN(N9:N15)</f>
        <v>1.1950890043045344</v>
      </c>
      <c r="O20" s="198">
        <f t="shared" ref="O20" si="5">MEDIAN(O9:O15)</f>
        <v>29.561872788148332</v>
      </c>
      <c r="P20" s="198">
        <f>MEDIAN(P9:P15)</f>
        <v>36.289707019631173</v>
      </c>
    </row>
    <row r="21" spans="2:17" x14ac:dyDescent="0.3">
      <c r="B21" s="195" t="s">
        <v>291</v>
      </c>
      <c r="C21" s="195"/>
      <c r="D21" s="195"/>
      <c r="E21" s="195"/>
      <c r="F21" s="195"/>
      <c r="G21" s="195"/>
      <c r="H21" s="195"/>
      <c r="I21" s="195"/>
      <c r="J21" s="195"/>
      <c r="K21" s="195"/>
      <c r="L21" s="195"/>
      <c r="M21" s="195"/>
      <c r="N21" s="196">
        <f>QUARTILE(N9:N15,1)</f>
        <v>1.1205264937501362</v>
      </c>
      <c r="O21" s="196">
        <f t="shared" ref="O21:P21" si="6">QUARTILE(O9:O15,1)</f>
        <v>13.124659935579782</v>
      </c>
      <c r="P21" s="196">
        <f t="shared" si="6"/>
        <v>16.827214556465595</v>
      </c>
    </row>
    <row r="22" spans="2:17" x14ac:dyDescent="0.3">
      <c r="B22" s="195" t="s">
        <v>292</v>
      </c>
      <c r="C22" s="195"/>
      <c r="D22" s="195"/>
      <c r="E22" s="195"/>
      <c r="F22" s="195"/>
      <c r="G22" s="195"/>
      <c r="H22" s="195"/>
      <c r="I22" s="195"/>
      <c r="J22" s="195"/>
      <c r="K22" s="195"/>
      <c r="L22" s="195"/>
      <c r="M22" s="195"/>
      <c r="N22" s="196">
        <f>MIN(N9:N15)</f>
        <v>0.78269499841818646</v>
      </c>
      <c r="O22" s="196">
        <f t="shared" ref="O22:P22" si="7">MIN(O9:O15)</f>
        <v>6.8792106320376467</v>
      </c>
      <c r="P22" s="196">
        <f t="shared" si="7"/>
        <v>14.900673384687819</v>
      </c>
    </row>
    <row r="24" spans="2:17" x14ac:dyDescent="0.3">
      <c r="B24" s="203" t="s">
        <v>296</v>
      </c>
      <c r="C24" s="166"/>
      <c r="D24" s="166"/>
      <c r="E24" s="166"/>
      <c r="F24" s="166"/>
      <c r="G24" s="166"/>
      <c r="H24" s="166"/>
      <c r="I24" s="166"/>
      <c r="J24" s="166"/>
      <c r="K24" s="166"/>
      <c r="L24" s="166"/>
      <c r="M24" s="166"/>
      <c r="N24" s="180" t="s">
        <v>265</v>
      </c>
      <c r="O24" s="177" t="s">
        <v>266</v>
      </c>
      <c r="P24" s="177" t="s">
        <v>267</v>
      </c>
    </row>
    <row r="26" spans="2:17" x14ac:dyDescent="0.3">
      <c r="B26" s="199" t="s">
        <v>293</v>
      </c>
      <c r="C26" s="199"/>
      <c r="D26" s="199"/>
      <c r="E26" s="199"/>
      <c r="F26" s="199"/>
      <c r="G26" s="199"/>
      <c r="H26" s="199"/>
      <c r="I26" s="199"/>
      <c r="J26" s="199"/>
      <c r="K26" s="199"/>
      <c r="L26" s="199"/>
      <c r="M26" s="199"/>
      <c r="N26" s="206">
        <f>N20*J10</f>
        <v>266116.79060932342</v>
      </c>
      <c r="O26" s="206">
        <v>192380.4</v>
      </c>
      <c r="P26" s="206">
        <f t="shared" ref="P26" si="8">P20*L10</f>
        <v>99945.844999836409</v>
      </c>
    </row>
    <row r="27" spans="2:17" x14ac:dyDescent="0.3">
      <c r="B27" s="199" t="s">
        <v>260</v>
      </c>
      <c r="C27" s="199"/>
      <c r="D27" s="199"/>
      <c r="E27" s="199"/>
      <c r="F27" s="199"/>
      <c r="G27" s="199"/>
      <c r="H27" s="199"/>
      <c r="I27" s="199"/>
      <c r="J27" s="199"/>
      <c r="K27" s="199"/>
      <c r="L27" s="199"/>
      <c r="M27" s="199"/>
      <c r="N27" s="206">
        <f>$G$10</f>
        <v>90714.04</v>
      </c>
      <c r="O27" s="206">
        <f t="shared" ref="O27:P27" si="9">$G$10</f>
        <v>90714.04</v>
      </c>
      <c r="P27" s="206">
        <f t="shared" si="9"/>
        <v>90714.04</v>
      </c>
    </row>
    <row r="28" spans="2:17" x14ac:dyDescent="0.3">
      <c r="B28" s="199" t="s">
        <v>294</v>
      </c>
      <c r="C28" s="199"/>
      <c r="D28" s="199"/>
      <c r="E28" s="199"/>
      <c r="F28" s="199"/>
      <c r="G28" s="199"/>
      <c r="H28" s="199"/>
      <c r="I28" s="199"/>
      <c r="J28" s="199"/>
      <c r="K28" s="199"/>
      <c r="L28" s="199"/>
      <c r="M28" s="199"/>
      <c r="N28" s="206">
        <f>N26-N27</f>
        <v>175402.75060932344</v>
      </c>
      <c r="O28" s="206">
        <f t="shared" ref="O28:P28" si="10">O26-O27</f>
        <v>101666.36</v>
      </c>
      <c r="P28" s="206">
        <f t="shared" si="10"/>
        <v>9231.8049998364149</v>
      </c>
    </row>
    <row r="29" spans="2:17" x14ac:dyDescent="0.3">
      <c r="B29" s="199" t="s">
        <v>258</v>
      </c>
      <c r="C29" s="199"/>
      <c r="D29" s="199"/>
      <c r="E29" s="199"/>
      <c r="F29" s="199"/>
      <c r="G29" s="199"/>
      <c r="H29" s="199"/>
      <c r="I29" s="199"/>
      <c r="J29" s="199"/>
      <c r="K29" s="199"/>
      <c r="L29" s="199"/>
      <c r="M29" s="199"/>
      <c r="N29" s="206">
        <f>$E$10</f>
        <v>1248.3499999999999</v>
      </c>
      <c r="O29" s="206">
        <f t="shared" ref="O29:P29" si="11">$E$10</f>
        <v>1248.3499999999999</v>
      </c>
      <c r="P29" s="206">
        <f t="shared" si="11"/>
        <v>1248.3499999999999</v>
      </c>
    </row>
    <row r="30" spans="2:17" x14ac:dyDescent="0.3">
      <c r="N30" s="13"/>
      <c r="O30" s="13"/>
      <c r="P30" s="13"/>
    </row>
    <row r="31" spans="2:17" x14ac:dyDescent="0.3">
      <c r="B31" s="200" t="s">
        <v>295</v>
      </c>
      <c r="C31" s="200"/>
      <c r="D31" s="200"/>
      <c r="E31" s="200"/>
      <c r="F31" s="200"/>
      <c r="G31" s="200"/>
      <c r="H31" s="200"/>
      <c r="I31" s="200"/>
      <c r="J31" s="200"/>
      <c r="K31" s="200"/>
      <c r="L31" s="200"/>
      <c r="M31" s="200"/>
      <c r="N31" s="201">
        <f>N28/N29</f>
        <v>140.50767061266748</v>
      </c>
      <c r="O31" s="201">
        <f t="shared" ref="O31:P31" si="12">O28/O29</f>
        <v>81.440589578243291</v>
      </c>
      <c r="P31" s="201">
        <f t="shared" si="12"/>
        <v>7.3952056713553214</v>
      </c>
    </row>
    <row r="32" spans="2:17" x14ac:dyDescent="0.3">
      <c r="B32" s="2"/>
      <c r="C32" s="2"/>
      <c r="D32" s="2"/>
      <c r="E32" s="2"/>
      <c r="F32" s="2"/>
      <c r="G32" s="2"/>
      <c r="H32" s="2"/>
      <c r="I32" s="2"/>
      <c r="J32" s="2"/>
      <c r="K32" s="2"/>
      <c r="L32" s="2"/>
      <c r="M32" s="2"/>
      <c r="N32" s="2"/>
      <c r="O32" s="202"/>
      <c r="P32" s="202"/>
      <c r="Q32" s="202"/>
    </row>
  </sheetData>
  <mergeCells count="4">
    <mergeCell ref="D6:H6"/>
    <mergeCell ref="J6:L6"/>
    <mergeCell ref="N6:P6"/>
    <mergeCell ref="B7:C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253AF-CAD2-4B5A-93D3-A9757574F9D1}">
  <dimension ref="B2:I83"/>
  <sheetViews>
    <sheetView showGridLines="0" topLeftCell="A27" workbookViewId="0">
      <selection activeCell="L31" sqref="L31"/>
    </sheetView>
  </sheetViews>
  <sheetFormatPr defaultRowHeight="14.4" x14ac:dyDescent="0.3"/>
  <cols>
    <col min="1" max="1" width="4.6640625" customWidth="1"/>
    <col min="2" max="2" width="34.88671875" customWidth="1"/>
    <col min="3" max="9" width="9.44140625" bestFit="1" customWidth="1"/>
  </cols>
  <sheetData>
    <row r="2" spans="2:9" ht="10.8" customHeight="1" x14ac:dyDescent="0.3">
      <c r="B2" s="162"/>
      <c r="C2" s="162"/>
      <c r="D2" s="162"/>
      <c r="E2" s="162"/>
      <c r="F2" s="162"/>
      <c r="G2" s="162"/>
      <c r="H2" s="162"/>
      <c r="I2" s="162"/>
    </row>
    <row r="3" spans="2:9" ht="3" customHeight="1" x14ac:dyDescent="0.3"/>
    <row r="4" spans="2:9" ht="34.799999999999997" customHeight="1" x14ac:dyDescent="0.65">
      <c r="B4" s="226" t="s">
        <v>313</v>
      </c>
    </row>
    <row r="5" spans="2:9" x14ac:dyDescent="0.3">
      <c r="B5" s="225" t="s">
        <v>368</v>
      </c>
    </row>
    <row r="6" spans="2:9" ht="18" x14ac:dyDescent="0.35">
      <c r="B6" s="209" t="s">
        <v>367</v>
      </c>
    </row>
    <row r="7" spans="2:9" x14ac:dyDescent="0.3">
      <c r="B7" s="121" t="s">
        <v>369</v>
      </c>
    </row>
    <row r="8" spans="2:9" ht="15" thickBot="1" x14ac:dyDescent="0.35">
      <c r="B8" s="223"/>
      <c r="C8" s="223"/>
      <c r="D8" s="223"/>
      <c r="E8" s="223"/>
      <c r="F8" s="223"/>
      <c r="G8" s="223"/>
      <c r="H8" s="223"/>
      <c r="I8" s="223"/>
    </row>
    <row r="9" spans="2:9" ht="18" x14ac:dyDescent="0.35">
      <c r="B9" s="210" t="s">
        <v>298</v>
      </c>
    </row>
    <row r="10" spans="2:9" x14ac:dyDescent="0.3">
      <c r="B10" s="232" t="s">
        <v>366</v>
      </c>
      <c r="C10" s="232"/>
      <c r="D10" s="232"/>
      <c r="E10" s="232"/>
      <c r="F10" s="232"/>
      <c r="G10" s="232"/>
      <c r="H10" s="232"/>
      <c r="I10" s="232"/>
    </row>
    <row r="11" spans="2:9" x14ac:dyDescent="0.3">
      <c r="B11" s="232"/>
      <c r="C11" s="232"/>
      <c r="D11" s="232"/>
      <c r="E11" s="232"/>
      <c r="F11" s="232"/>
      <c r="G11" s="232"/>
      <c r="H11" s="232"/>
      <c r="I11" s="232"/>
    </row>
    <row r="12" spans="2:9" x14ac:dyDescent="0.3">
      <c r="B12" s="232"/>
      <c r="C12" s="232"/>
      <c r="D12" s="232"/>
      <c r="E12" s="232"/>
      <c r="F12" s="232"/>
      <c r="G12" s="232"/>
      <c r="H12" s="232"/>
      <c r="I12" s="232"/>
    </row>
    <row r="13" spans="2:9" ht="21" customHeight="1" x14ac:dyDescent="0.3">
      <c r="B13" s="232"/>
      <c r="C13" s="232"/>
      <c r="D13" s="232"/>
      <c r="E13" s="232"/>
      <c r="F13" s="232"/>
      <c r="G13" s="232"/>
      <c r="H13" s="232"/>
      <c r="I13" s="232"/>
    </row>
    <row r="14" spans="2:9" ht="7.8" customHeight="1" thickBot="1" x14ac:dyDescent="0.35">
      <c r="B14" s="207"/>
      <c r="C14" s="207"/>
      <c r="D14" s="207"/>
      <c r="E14" s="207"/>
      <c r="F14" s="207"/>
      <c r="G14" s="207"/>
      <c r="H14" s="207"/>
      <c r="I14" s="207"/>
    </row>
    <row r="15" spans="2:9" ht="18" x14ac:dyDescent="0.35">
      <c r="B15" s="221" t="s">
        <v>299</v>
      </c>
      <c r="C15" s="222"/>
      <c r="D15" s="222"/>
      <c r="E15" s="222"/>
      <c r="F15" s="222"/>
      <c r="G15" s="222"/>
      <c r="H15" s="222"/>
      <c r="I15" s="222"/>
    </row>
    <row r="16" spans="2:9" x14ac:dyDescent="0.3">
      <c r="B16" s="207"/>
      <c r="C16" s="207"/>
      <c r="D16" s="207"/>
      <c r="E16" s="207"/>
      <c r="F16" s="207"/>
      <c r="G16" s="207"/>
      <c r="H16" s="207"/>
      <c r="I16" s="207"/>
    </row>
    <row r="17" spans="2:9" x14ac:dyDescent="0.3">
      <c r="B17" s="207"/>
      <c r="C17" s="207"/>
      <c r="D17" s="207"/>
      <c r="E17" s="207"/>
      <c r="F17" s="207"/>
      <c r="G17" s="207"/>
      <c r="H17" s="207"/>
      <c r="I17" s="207"/>
    </row>
    <row r="40" spans="2:9" ht="7.2" customHeight="1" x14ac:dyDescent="0.3">
      <c r="B40" s="162"/>
      <c r="C40" s="162"/>
      <c r="D40" s="162"/>
      <c r="E40" s="162"/>
      <c r="F40" s="162"/>
      <c r="G40" s="162"/>
      <c r="H40" s="162"/>
      <c r="I40" s="162"/>
    </row>
    <row r="41" spans="2:9" ht="13.2" customHeight="1" x14ac:dyDescent="0.3"/>
    <row r="42" spans="2:9" ht="7.8" customHeight="1" x14ac:dyDescent="0.3"/>
    <row r="43" spans="2:9" ht="15" customHeight="1" x14ac:dyDescent="0.3">
      <c r="B43" s="233" t="s">
        <v>300</v>
      </c>
      <c r="C43" s="233"/>
      <c r="D43" s="233"/>
      <c r="E43" s="233"/>
      <c r="F43" s="233"/>
      <c r="G43" s="233"/>
      <c r="H43" s="233"/>
      <c r="I43" s="233"/>
    </row>
    <row r="44" spans="2:9" x14ac:dyDescent="0.3">
      <c r="C44" s="208">
        <v>43160</v>
      </c>
      <c r="D44" s="208">
        <v>43525</v>
      </c>
      <c r="E44" s="208">
        <v>43891</v>
      </c>
      <c r="F44" s="208">
        <v>44256</v>
      </c>
      <c r="G44" s="208">
        <v>44621</v>
      </c>
      <c r="H44" s="208">
        <v>44986</v>
      </c>
      <c r="I44" s="208">
        <v>45352</v>
      </c>
    </row>
    <row r="45" spans="2:9" x14ac:dyDescent="0.3">
      <c r="B45" t="s">
        <v>301</v>
      </c>
      <c r="C45" s="12">
        <f>'dp '!E30</f>
        <v>13434.33</v>
      </c>
      <c r="D45" s="12">
        <f>'dp '!F30</f>
        <v>10218.33</v>
      </c>
      <c r="E45" s="12">
        <f>'dp '!G30</f>
        <v>1556.54</v>
      </c>
      <c r="F45" s="12">
        <f>'dp '!H30</f>
        <v>7490.22</v>
      </c>
      <c r="G45" s="12">
        <f>'dp '!I30</f>
        <v>40153.93</v>
      </c>
      <c r="H45" s="12">
        <f>'dp '!J30</f>
        <v>8760.4</v>
      </c>
      <c r="I45" s="12">
        <f>'dp '!K30</f>
        <v>-4437.4399999999996</v>
      </c>
    </row>
    <row r="46" spans="2:9" x14ac:dyDescent="0.3">
      <c r="B46" t="s">
        <v>302</v>
      </c>
      <c r="C46" s="12">
        <f>(('dp '!E57+'dp '!E58)+('dp '!D57+'dp '!D58))/2</f>
        <v>49344.97</v>
      </c>
      <c r="D46" s="12">
        <f>(('dp '!F57+'dp '!F58)+('dp '!E57+'dp '!E58))/2</f>
        <v>64897.85</v>
      </c>
      <c r="E46" s="12">
        <f>(('dp '!G57+'dp '!G58)+('dp '!F57+'dp '!F58))/2</f>
        <v>71250.69</v>
      </c>
      <c r="F46" s="12">
        <f>(('dp '!H57+'dp '!H58)+('dp '!G57+'dp '!G58))/2</f>
        <v>73907.535000000003</v>
      </c>
      <c r="G46" s="12">
        <f>(('dp '!I57+'dp '!I58)+('dp '!H57+'dp '!H58))/2</f>
        <v>94340.904999999999</v>
      </c>
      <c r="H46" s="12">
        <f>(('dp '!J57+'dp '!J58)+('dp '!I57+'dp '!I58))/2</f>
        <v>108762.57</v>
      </c>
      <c r="I46" s="12">
        <f>(('dp '!K57+'dp '!K58)+('dp '!J57+'dp '!J58))/2</f>
        <v>97558.930000000008</v>
      </c>
    </row>
    <row r="47" spans="2:9" x14ac:dyDescent="0.3">
      <c r="B47" s="212" t="s">
        <v>303</v>
      </c>
      <c r="C47" s="213">
        <f t="shared" ref="C47:H47" si="0">C45/C46</f>
        <v>0.27225328133748994</v>
      </c>
      <c r="D47" s="213">
        <f t="shared" si="0"/>
        <v>0.1574525196135157</v>
      </c>
      <c r="E47" s="213">
        <f t="shared" si="0"/>
        <v>2.1845963877683148E-2</v>
      </c>
      <c r="F47" s="213">
        <f t="shared" si="0"/>
        <v>0.1013458235347722</v>
      </c>
      <c r="G47" s="213">
        <f t="shared" si="0"/>
        <v>0.42562587246751554</v>
      </c>
      <c r="H47" s="213">
        <f t="shared" si="0"/>
        <v>8.0546092281563397E-2</v>
      </c>
      <c r="I47" s="213">
        <f>I45/C46</f>
        <v>-8.992689629763681E-2</v>
      </c>
    </row>
    <row r="49" spans="2:9" ht="15.6" x14ac:dyDescent="0.3">
      <c r="B49" s="233" t="s">
        <v>304</v>
      </c>
      <c r="C49" s="233"/>
      <c r="D49" s="233"/>
      <c r="E49" s="233"/>
      <c r="F49" s="233"/>
      <c r="G49" s="233"/>
      <c r="H49" s="233"/>
      <c r="I49" s="233"/>
    </row>
    <row r="50" spans="2:9" x14ac:dyDescent="0.3">
      <c r="C50" s="208">
        <f>C44</f>
        <v>43160</v>
      </c>
      <c r="D50" s="208">
        <f t="shared" ref="D50:I50" si="1">D44</f>
        <v>43525</v>
      </c>
      <c r="E50" s="208">
        <f t="shared" si="1"/>
        <v>43891</v>
      </c>
      <c r="F50" s="208">
        <f t="shared" si="1"/>
        <v>44256</v>
      </c>
      <c r="G50" s="208">
        <f t="shared" si="1"/>
        <v>44621</v>
      </c>
      <c r="H50" s="208">
        <f t="shared" si="1"/>
        <v>44986</v>
      </c>
      <c r="I50" s="208">
        <f t="shared" si="1"/>
        <v>45352</v>
      </c>
    </row>
    <row r="51" spans="2:9" x14ac:dyDescent="0.3">
      <c r="B51" t="str">
        <f>B45</f>
        <v>Net Profit</v>
      </c>
      <c r="C51" s="12">
        <f t="shared" ref="C51:I51" si="2">C45</f>
        <v>13434.33</v>
      </c>
      <c r="D51" s="12">
        <f t="shared" si="2"/>
        <v>10218.33</v>
      </c>
      <c r="E51" s="12">
        <f t="shared" si="2"/>
        <v>1556.54</v>
      </c>
      <c r="F51" s="12">
        <f t="shared" si="2"/>
        <v>7490.22</v>
      </c>
      <c r="G51" s="12">
        <f t="shared" si="2"/>
        <v>40153.93</v>
      </c>
      <c r="H51" s="12">
        <f t="shared" si="2"/>
        <v>8760.4</v>
      </c>
      <c r="I51" s="12">
        <f t="shared" si="2"/>
        <v>-4437.4399999999996</v>
      </c>
    </row>
    <row r="52" spans="2:9" x14ac:dyDescent="0.3">
      <c r="B52" t="s">
        <v>262</v>
      </c>
      <c r="C52" s="12">
        <f>'dp '!B17</f>
        <v>139503.73000000001</v>
      </c>
      <c r="D52" s="12">
        <f>'dp '!C17</f>
        <v>101964.72</v>
      </c>
      <c r="E52" s="12">
        <f>'dp '!D17</f>
        <v>112299.42</v>
      </c>
      <c r="F52" s="12">
        <f>'dp '!E17</f>
        <v>123249.07</v>
      </c>
      <c r="G52" s="12">
        <f>'dp '!F17</f>
        <v>157668.99</v>
      </c>
      <c r="H52" s="12">
        <f>'dp '!G17</f>
        <v>139816.65</v>
      </c>
      <c r="I52" s="12">
        <f>'dp '!H17</f>
        <v>156294.18</v>
      </c>
    </row>
    <row r="53" spans="2:9" x14ac:dyDescent="0.3">
      <c r="B53" s="212" t="s">
        <v>305</v>
      </c>
      <c r="C53" s="213">
        <f>C51/C52</f>
        <v>9.6300865933835592E-2</v>
      </c>
      <c r="D53" s="213">
        <f>D51/D52</f>
        <v>0.10021436826384655</v>
      </c>
      <c r="E53" s="213">
        <f t="shared" ref="E53:H53" si="3">E51/E52</f>
        <v>1.3860623679089348E-2</v>
      </c>
      <c r="F53" s="213">
        <f t="shared" si="3"/>
        <v>6.0773034636285694E-2</v>
      </c>
      <c r="G53" s="213">
        <f t="shared" si="3"/>
        <v>0.25467233601230022</v>
      </c>
      <c r="H53" s="213">
        <f t="shared" si="3"/>
        <v>6.2656343146542282E-2</v>
      </c>
      <c r="I53" s="213">
        <f>I51/I52</f>
        <v>-2.8391588221647151E-2</v>
      </c>
    </row>
    <row r="55" spans="2:9" x14ac:dyDescent="0.3">
      <c r="B55" t="s">
        <v>262</v>
      </c>
      <c r="C55" s="12">
        <f>C52</f>
        <v>139503.73000000001</v>
      </c>
      <c r="D55" s="12">
        <f t="shared" ref="D55:I55" si="4">D52</f>
        <v>101964.72</v>
      </c>
      <c r="E55" s="12">
        <f t="shared" si="4"/>
        <v>112299.42</v>
      </c>
      <c r="F55" s="12">
        <f t="shared" si="4"/>
        <v>123249.07</v>
      </c>
      <c r="G55" s="12">
        <f t="shared" si="4"/>
        <v>157668.99</v>
      </c>
      <c r="H55" s="12">
        <f t="shared" si="4"/>
        <v>139816.65</v>
      </c>
      <c r="I55" s="12">
        <f t="shared" si="4"/>
        <v>156294.18</v>
      </c>
    </row>
    <row r="56" spans="2:9" x14ac:dyDescent="0.3">
      <c r="B56" t="s">
        <v>306</v>
      </c>
      <c r="C56" s="12">
        <f>('dp '!E66+'dp '!D66)/2</f>
        <v>190584.755</v>
      </c>
      <c r="D56" s="12">
        <f>('dp '!F66+'dp '!E66)/2</f>
        <v>220747.79</v>
      </c>
      <c r="E56" s="12">
        <f>('dp '!G66+'dp '!F66)/2</f>
        <v>240961.28</v>
      </c>
      <c r="F56" s="12">
        <f>('dp '!H66+'dp '!G66)/2</f>
        <v>246529.155</v>
      </c>
      <c r="G56" s="12">
        <f>('dp '!I66+'dp '!H66)/2</f>
        <v>263165.43</v>
      </c>
      <c r="H56" s="12">
        <f>('dp '!J66+'dp '!I66)/2</f>
        <v>283908.72499999998</v>
      </c>
      <c r="I56" s="12">
        <f>('dp '!K66+'dp '!J66)/2</f>
        <v>277354.09999999998</v>
      </c>
    </row>
    <row r="57" spans="2:9" x14ac:dyDescent="0.3">
      <c r="B57" s="212" t="s">
        <v>307</v>
      </c>
      <c r="C57" s="214">
        <f>C55/C56</f>
        <v>0.73197738192648198</v>
      </c>
      <c r="D57" s="214">
        <f t="shared" ref="D57:I57" si="5">D55/D56</f>
        <v>0.46190596064404538</v>
      </c>
      <c r="E57" s="214">
        <f t="shared" si="5"/>
        <v>0.46604757411647213</v>
      </c>
      <c r="F57" s="214">
        <f t="shared" si="5"/>
        <v>0.4999370966894362</v>
      </c>
      <c r="G57" s="214">
        <f t="shared" si="5"/>
        <v>0.59912500665455948</v>
      </c>
      <c r="H57" s="214">
        <f t="shared" si="5"/>
        <v>0.49247042337286395</v>
      </c>
      <c r="I57" s="214">
        <f t="shared" si="5"/>
        <v>0.56351854903172516</v>
      </c>
    </row>
    <row r="59" spans="2:9" x14ac:dyDescent="0.3">
      <c r="B59" t="str">
        <f>B56</f>
        <v>Average Total Asset</v>
      </c>
      <c r="C59" s="12">
        <f>C56</f>
        <v>190584.755</v>
      </c>
      <c r="D59" s="12">
        <f t="shared" ref="D59:I59" si="6">D56</f>
        <v>220747.79</v>
      </c>
      <c r="E59" s="12">
        <f t="shared" si="6"/>
        <v>240961.28</v>
      </c>
      <c r="F59" s="12">
        <f t="shared" si="6"/>
        <v>246529.155</v>
      </c>
      <c r="G59" s="12">
        <f t="shared" si="6"/>
        <v>263165.43</v>
      </c>
      <c r="H59" s="12">
        <f t="shared" si="6"/>
        <v>283908.72499999998</v>
      </c>
      <c r="I59" s="12">
        <f t="shared" si="6"/>
        <v>277354.09999999998</v>
      </c>
    </row>
    <row r="60" spans="2:9" x14ac:dyDescent="0.3">
      <c r="B60" t="str">
        <f>B46</f>
        <v>Average Shareholder Equity</v>
      </c>
      <c r="C60" s="12">
        <f>C46</f>
        <v>49344.97</v>
      </c>
      <c r="D60" s="12">
        <f t="shared" ref="D60:I60" si="7">D46</f>
        <v>64897.85</v>
      </c>
      <c r="E60" s="12">
        <f t="shared" si="7"/>
        <v>71250.69</v>
      </c>
      <c r="F60" s="12">
        <f t="shared" si="7"/>
        <v>73907.535000000003</v>
      </c>
      <c r="G60" s="12">
        <f t="shared" si="7"/>
        <v>94340.904999999999</v>
      </c>
      <c r="H60" s="12">
        <f t="shared" si="7"/>
        <v>108762.57</v>
      </c>
      <c r="I60" s="12">
        <f t="shared" si="7"/>
        <v>97558.930000000008</v>
      </c>
    </row>
    <row r="61" spans="2:9" x14ac:dyDescent="0.3">
      <c r="B61" s="212" t="s">
        <v>308</v>
      </c>
      <c r="C61" s="215">
        <f>C59/C60</f>
        <v>3.8622934617246703</v>
      </c>
      <c r="D61" s="215">
        <f t="shared" ref="D61:H61" si="8">D59/D60</f>
        <v>3.401465379823831</v>
      </c>
      <c r="E61" s="215">
        <f t="shared" si="8"/>
        <v>3.3818799509169666</v>
      </c>
      <c r="F61" s="215">
        <f t="shared" si="8"/>
        <v>3.3356430437031892</v>
      </c>
      <c r="G61" s="215">
        <f t="shared" si="8"/>
        <v>2.7895156401139038</v>
      </c>
      <c r="H61" s="215">
        <f t="shared" si="8"/>
        <v>2.6103532217011787</v>
      </c>
      <c r="I61" s="215">
        <f>I59/I60</f>
        <v>2.8429391343262984</v>
      </c>
    </row>
    <row r="63" spans="2:9" x14ac:dyDescent="0.3">
      <c r="B63" s="212" t="s">
        <v>309</v>
      </c>
      <c r="C63" s="213">
        <f>C61*C57*C53</f>
        <v>0.27225328133748988</v>
      </c>
      <c r="D63" s="213">
        <f t="shared" ref="D63:H63" si="9">D61*D57*D53</f>
        <v>0.15745251961351572</v>
      </c>
      <c r="E63" s="213">
        <f t="shared" si="9"/>
        <v>2.1845963877683148E-2</v>
      </c>
      <c r="F63" s="213">
        <f t="shared" si="9"/>
        <v>0.1013458235347722</v>
      </c>
      <c r="G63" s="213">
        <f t="shared" si="9"/>
        <v>0.4256258724675156</v>
      </c>
      <c r="H63" s="213">
        <f t="shared" si="9"/>
        <v>8.0546092281563397E-2</v>
      </c>
      <c r="I63" s="213">
        <f>I61*I57*I53</f>
        <v>-4.5484713700734508E-2</v>
      </c>
    </row>
    <row r="65" spans="2:9" ht="15.6" x14ac:dyDescent="0.3">
      <c r="B65" s="233" t="s">
        <v>310</v>
      </c>
      <c r="C65" s="233"/>
      <c r="D65" s="233"/>
      <c r="E65" s="233"/>
      <c r="F65" s="233"/>
      <c r="G65" s="233"/>
      <c r="H65" s="233"/>
      <c r="I65" s="233"/>
    </row>
    <row r="66" spans="2:9" x14ac:dyDescent="0.3">
      <c r="C66" s="208">
        <f t="shared" ref="C66:H67" si="10">C50</f>
        <v>43160</v>
      </c>
      <c r="D66" s="208">
        <f t="shared" si="10"/>
        <v>43525</v>
      </c>
      <c r="E66" s="208">
        <f t="shared" si="10"/>
        <v>43891</v>
      </c>
      <c r="F66" s="208">
        <f t="shared" si="10"/>
        <v>44256</v>
      </c>
      <c r="G66" s="208">
        <f t="shared" si="10"/>
        <v>44621</v>
      </c>
      <c r="H66" s="208">
        <f t="shared" si="10"/>
        <v>44986</v>
      </c>
      <c r="I66" s="208">
        <f>I50</f>
        <v>45352</v>
      </c>
    </row>
    <row r="67" spans="2:9" x14ac:dyDescent="0.3">
      <c r="B67" t="s">
        <v>301</v>
      </c>
      <c r="C67" s="12">
        <f t="shared" si="10"/>
        <v>13434.33</v>
      </c>
      <c r="D67" s="12">
        <f t="shared" si="10"/>
        <v>10218.33</v>
      </c>
      <c r="E67" s="12">
        <f t="shared" si="10"/>
        <v>1556.54</v>
      </c>
      <c r="F67" s="12">
        <f t="shared" si="10"/>
        <v>7490.22</v>
      </c>
      <c r="G67" s="12">
        <f t="shared" si="10"/>
        <v>40153.93</v>
      </c>
      <c r="H67" s="12">
        <f t="shared" si="10"/>
        <v>8760.4</v>
      </c>
      <c r="I67" s="12">
        <f>I51</f>
        <v>-4437.4399999999996</v>
      </c>
    </row>
    <row r="68" spans="2:9" x14ac:dyDescent="0.3">
      <c r="B68" t="str">
        <f>B59</f>
        <v>Average Total Asset</v>
      </c>
      <c r="C68" s="12">
        <f t="shared" ref="C68:H68" si="11">C56</f>
        <v>190584.755</v>
      </c>
      <c r="D68" s="12">
        <f t="shared" si="11"/>
        <v>220747.79</v>
      </c>
      <c r="E68" s="12">
        <f t="shared" si="11"/>
        <v>240961.28</v>
      </c>
      <c r="F68" s="12">
        <f t="shared" si="11"/>
        <v>246529.155</v>
      </c>
      <c r="G68" s="12">
        <f t="shared" si="11"/>
        <v>263165.43</v>
      </c>
      <c r="H68" s="12">
        <f t="shared" si="11"/>
        <v>283908.72499999998</v>
      </c>
      <c r="I68" s="12">
        <f>I56</f>
        <v>277354.09999999998</v>
      </c>
    </row>
    <row r="69" spans="2:9" x14ac:dyDescent="0.3">
      <c r="B69" s="212" t="s">
        <v>310</v>
      </c>
      <c r="C69" s="213">
        <f>C67/C68</f>
        <v>7.0490055723502115E-2</v>
      </c>
      <c r="D69" s="213">
        <f t="shared" ref="D69:I69" si="12">D67/D68</f>
        <v>4.6289614043248176E-2</v>
      </c>
      <c r="E69" s="213">
        <f t="shared" si="12"/>
        <v>6.4597100413809226E-3</v>
      </c>
      <c r="F69" s="213">
        <f t="shared" si="12"/>
        <v>3.0382694493071218E-2</v>
      </c>
      <c r="G69" s="213">
        <f t="shared" si="12"/>
        <v>0.15258056500810158</v>
      </c>
      <c r="H69" s="213">
        <f t="shared" si="12"/>
        <v>3.0856395836373118E-2</v>
      </c>
      <c r="I69" s="213">
        <f t="shared" si="12"/>
        <v>-1.5999186599368821E-2</v>
      </c>
    </row>
    <row r="71" spans="2:9" ht="15.6" x14ac:dyDescent="0.3">
      <c r="B71" s="233" t="s">
        <v>311</v>
      </c>
      <c r="C71" s="233"/>
      <c r="D71" s="233"/>
      <c r="E71" s="233"/>
      <c r="F71" s="233"/>
      <c r="G71" s="233"/>
      <c r="H71" s="233"/>
      <c r="I71" s="233"/>
    </row>
    <row r="72" spans="2:9" x14ac:dyDescent="0.3">
      <c r="C72" s="208">
        <f>C66</f>
        <v>43160</v>
      </c>
      <c r="D72" s="208">
        <f t="shared" ref="D72:I72" si="13">D66</f>
        <v>43525</v>
      </c>
      <c r="E72" s="208">
        <f t="shared" si="13"/>
        <v>43891</v>
      </c>
      <c r="F72" s="208">
        <f t="shared" si="13"/>
        <v>44256</v>
      </c>
      <c r="G72" s="208">
        <f t="shared" si="13"/>
        <v>44621</v>
      </c>
      <c r="H72" s="208">
        <f t="shared" si="13"/>
        <v>44986</v>
      </c>
      <c r="I72" s="208">
        <f t="shared" si="13"/>
        <v>45352</v>
      </c>
    </row>
    <row r="73" spans="2:9" x14ac:dyDescent="0.3">
      <c r="B73" t="str">
        <f>B67</f>
        <v>Net Profit</v>
      </c>
      <c r="C73" s="12">
        <f t="shared" ref="C73:H73" si="14">C67</f>
        <v>13434.33</v>
      </c>
      <c r="D73" s="12">
        <f t="shared" si="14"/>
        <v>10218.33</v>
      </c>
      <c r="E73" s="12">
        <f t="shared" si="14"/>
        <v>1556.54</v>
      </c>
      <c r="F73" s="12">
        <f t="shared" si="14"/>
        <v>7490.22</v>
      </c>
      <c r="G73" s="12">
        <f t="shared" si="14"/>
        <v>40153.93</v>
      </c>
      <c r="H73" s="12">
        <f t="shared" si="14"/>
        <v>8760.4</v>
      </c>
      <c r="I73" s="12">
        <f>I67</f>
        <v>-4437.4399999999996</v>
      </c>
    </row>
    <row r="74" spans="2:9" x14ac:dyDescent="0.3">
      <c r="B74" t="s">
        <v>262</v>
      </c>
      <c r="C74" s="12">
        <f t="shared" ref="C74:H74" si="15">C55</f>
        <v>139503.73000000001</v>
      </c>
      <c r="D74" s="12">
        <f t="shared" si="15"/>
        <v>101964.72</v>
      </c>
      <c r="E74" s="12">
        <f t="shared" si="15"/>
        <v>112299.42</v>
      </c>
      <c r="F74" s="12">
        <f t="shared" si="15"/>
        <v>123249.07</v>
      </c>
      <c r="G74" s="12">
        <f t="shared" si="15"/>
        <v>157668.99</v>
      </c>
      <c r="H74" s="12">
        <f t="shared" si="15"/>
        <v>139816.65</v>
      </c>
      <c r="I74" s="12">
        <f>I55</f>
        <v>156294.18</v>
      </c>
    </row>
    <row r="75" spans="2:9" x14ac:dyDescent="0.3">
      <c r="B75" s="212" t="s">
        <v>305</v>
      </c>
      <c r="C75" s="213">
        <f>C73/C74</f>
        <v>9.6300865933835592E-2</v>
      </c>
      <c r="D75" s="213">
        <f t="shared" ref="D75:H75" si="16">D73/D74</f>
        <v>0.10021436826384655</v>
      </c>
      <c r="E75" s="213">
        <f t="shared" si="16"/>
        <v>1.3860623679089348E-2</v>
      </c>
      <c r="F75" s="213">
        <f t="shared" si="16"/>
        <v>6.0773034636285694E-2</v>
      </c>
      <c r="G75" s="213">
        <f t="shared" si="16"/>
        <v>0.25467233601230022</v>
      </c>
      <c r="H75" s="213">
        <f t="shared" si="16"/>
        <v>6.2656343146542282E-2</v>
      </c>
      <c r="I75" s="213">
        <f>I73/I74</f>
        <v>-2.8391588221647151E-2</v>
      </c>
    </row>
    <row r="77" spans="2:9" x14ac:dyDescent="0.3">
      <c r="B77" t="s">
        <v>262</v>
      </c>
      <c r="C77" s="12">
        <f t="shared" ref="C77:H77" si="17">C74</f>
        <v>139503.73000000001</v>
      </c>
      <c r="D77" s="12">
        <f t="shared" si="17"/>
        <v>101964.72</v>
      </c>
      <c r="E77" s="12">
        <f t="shared" si="17"/>
        <v>112299.42</v>
      </c>
      <c r="F77" s="12">
        <f t="shared" si="17"/>
        <v>123249.07</v>
      </c>
      <c r="G77" s="12">
        <f t="shared" si="17"/>
        <v>157668.99</v>
      </c>
      <c r="H77" s="12">
        <f t="shared" si="17"/>
        <v>139816.65</v>
      </c>
      <c r="I77" s="12">
        <f>I74</f>
        <v>156294.18</v>
      </c>
    </row>
    <row r="78" spans="2:9" x14ac:dyDescent="0.3">
      <c r="B78" t="s">
        <v>306</v>
      </c>
      <c r="C78" s="12">
        <f t="shared" ref="C78:H78" si="18">C68</f>
        <v>190584.755</v>
      </c>
      <c r="D78" s="12">
        <f t="shared" si="18"/>
        <v>220747.79</v>
      </c>
      <c r="E78" s="12">
        <f t="shared" si="18"/>
        <v>240961.28</v>
      </c>
      <c r="F78" s="12">
        <f t="shared" si="18"/>
        <v>246529.155</v>
      </c>
      <c r="G78" s="12">
        <f t="shared" si="18"/>
        <v>263165.43</v>
      </c>
      <c r="H78" s="12">
        <f t="shared" si="18"/>
        <v>283908.72499999998</v>
      </c>
      <c r="I78" s="12">
        <f>I68</f>
        <v>277354.09999999998</v>
      </c>
    </row>
    <row r="79" spans="2:9" x14ac:dyDescent="0.3">
      <c r="B79" s="212" t="s">
        <v>307</v>
      </c>
      <c r="C79" s="214">
        <f t="shared" ref="C79:H79" si="19">C77/C78</f>
        <v>0.73197738192648198</v>
      </c>
      <c r="D79" s="214">
        <f t="shared" si="19"/>
        <v>0.46190596064404538</v>
      </c>
      <c r="E79" s="214">
        <f t="shared" si="19"/>
        <v>0.46604757411647213</v>
      </c>
      <c r="F79" s="214">
        <f t="shared" si="19"/>
        <v>0.4999370966894362</v>
      </c>
      <c r="G79" s="214">
        <f t="shared" si="19"/>
        <v>0.59912500665455948</v>
      </c>
      <c r="H79" s="214">
        <f t="shared" si="19"/>
        <v>0.49247042337286395</v>
      </c>
      <c r="I79" s="214">
        <f>I77/I78</f>
        <v>0.56351854903172516</v>
      </c>
    </row>
    <row r="81" spans="2:9" x14ac:dyDescent="0.3">
      <c r="B81" s="212" t="s">
        <v>312</v>
      </c>
      <c r="C81" s="213">
        <f>C79*C75</f>
        <v>7.0490055723502115E-2</v>
      </c>
      <c r="D81" s="213">
        <f t="shared" ref="D81:I81" si="20">D79*D75</f>
        <v>4.6289614043248176E-2</v>
      </c>
      <c r="E81" s="213">
        <f t="shared" si="20"/>
        <v>6.4597100413809217E-3</v>
      </c>
      <c r="F81" s="213">
        <f t="shared" si="20"/>
        <v>3.0382694493071218E-2</v>
      </c>
      <c r="G81" s="213">
        <f t="shared" si="20"/>
        <v>0.15258056500810158</v>
      </c>
      <c r="H81" s="213">
        <f t="shared" si="20"/>
        <v>3.0856395836373122E-2</v>
      </c>
      <c r="I81" s="213">
        <f t="shared" si="20"/>
        <v>-1.5999186599368821E-2</v>
      </c>
    </row>
    <row r="83" spans="2:9" x14ac:dyDescent="0.3">
      <c r="B83" s="224"/>
    </row>
  </sheetData>
  <mergeCells count="5">
    <mergeCell ref="B10:I13"/>
    <mergeCell ref="B43:I43"/>
    <mergeCell ref="B49:I49"/>
    <mergeCell ref="B65:I65"/>
    <mergeCell ref="B71:I7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BEE99-7F87-4FC3-AFF6-8FE3A5DCA5C9}">
  <dimension ref="A2:E43"/>
  <sheetViews>
    <sheetView topLeftCell="A28" workbookViewId="0">
      <selection activeCell="C47" sqref="C47"/>
    </sheetView>
  </sheetViews>
  <sheetFormatPr defaultRowHeight="14.4" x14ac:dyDescent="0.3"/>
  <cols>
    <col min="1" max="1" width="24.109375" bestFit="1" customWidth="1"/>
    <col min="2" max="2" width="14.44140625" bestFit="1" customWidth="1"/>
    <col min="3" max="3" width="39.77734375" bestFit="1" customWidth="1"/>
    <col min="4" max="4" width="5.44140625" bestFit="1" customWidth="1"/>
  </cols>
  <sheetData>
    <row r="2" spans="1:5" x14ac:dyDescent="0.3">
      <c r="A2" t="s">
        <v>21</v>
      </c>
      <c r="B2" t="s">
        <v>22</v>
      </c>
      <c r="C2" t="s">
        <v>23</v>
      </c>
    </row>
    <row r="3" spans="1:5" x14ac:dyDescent="0.3">
      <c r="A3" t="s">
        <v>24</v>
      </c>
      <c r="B3" t="s">
        <v>25</v>
      </c>
      <c r="C3">
        <v>0.12</v>
      </c>
    </row>
    <row r="4" spans="1:5" x14ac:dyDescent="0.3">
      <c r="A4" t="s">
        <v>26</v>
      </c>
      <c r="B4" s="10">
        <v>60840</v>
      </c>
      <c r="C4">
        <v>0.09</v>
      </c>
    </row>
    <row r="5" spans="1:5" x14ac:dyDescent="0.3">
      <c r="A5" t="s">
        <v>16</v>
      </c>
    </row>
    <row r="6" spans="1:5" x14ac:dyDescent="0.3">
      <c r="A6" t="s">
        <v>209</v>
      </c>
      <c r="B6" t="s">
        <v>27</v>
      </c>
      <c r="C6" t="s">
        <v>28</v>
      </c>
    </row>
    <row r="7" spans="1:5" x14ac:dyDescent="0.3">
      <c r="A7" t="s">
        <v>29</v>
      </c>
      <c r="B7" t="s">
        <v>30</v>
      </c>
      <c r="C7" t="s">
        <v>31</v>
      </c>
    </row>
    <row r="8" spans="1:5" x14ac:dyDescent="0.3">
      <c r="A8" t="s">
        <v>32</v>
      </c>
      <c r="B8" t="s">
        <v>33</v>
      </c>
      <c r="C8" t="s">
        <v>34</v>
      </c>
      <c r="D8" t="s">
        <v>35</v>
      </c>
      <c r="E8" t="s">
        <v>36</v>
      </c>
    </row>
    <row r="9" spans="1:5" x14ac:dyDescent="0.3">
      <c r="A9" t="s">
        <v>37</v>
      </c>
      <c r="B9" t="s">
        <v>38</v>
      </c>
      <c r="C9" t="s">
        <v>39</v>
      </c>
    </row>
    <row r="10" spans="1:5" x14ac:dyDescent="0.3">
      <c r="A10" t="s">
        <v>207</v>
      </c>
      <c r="B10" t="s">
        <v>208</v>
      </c>
      <c r="C10" s="6">
        <v>3031.01</v>
      </c>
    </row>
    <row r="11" spans="1:5" x14ac:dyDescent="0.3">
      <c r="A11" t="s">
        <v>40</v>
      </c>
      <c r="B11" t="s">
        <v>41</v>
      </c>
      <c r="C11" t="s">
        <v>42</v>
      </c>
    </row>
    <row r="12" spans="1:5" x14ac:dyDescent="0.3">
      <c r="A12" t="s">
        <v>43</v>
      </c>
      <c r="B12" s="6">
        <v>22747</v>
      </c>
      <c r="C12" t="s">
        <v>44</v>
      </c>
    </row>
    <row r="13" spans="1:5" x14ac:dyDescent="0.3">
      <c r="A13" t="s">
        <v>17</v>
      </c>
    </row>
    <row r="14" spans="1:5" x14ac:dyDescent="0.3">
      <c r="A14" t="s">
        <v>45</v>
      </c>
      <c r="B14" t="s">
        <v>46</v>
      </c>
      <c r="C14" t="s">
        <v>47</v>
      </c>
      <c r="D14" t="s">
        <v>48</v>
      </c>
      <c r="E14" t="s">
        <v>49</v>
      </c>
    </row>
    <row r="15" spans="1:5" x14ac:dyDescent="0.3">
      <c r="A15" t="s">
        <v>50</v>
      </c>
      <c r="B15" s="6">
        <v>2525.5</v>
      </c>
      <c r="C15">
        <v>3</v>
      </c>
    </row>
    <row r="16" spans="1:5" x14ac:dyDescent="0.3">
      <c r="A16" t="s">
        <v>51</v>
      </c>
      <c r="B16" t="s">
        <v>52</v>
      </c>
      <c r="C16" t="s">
        <v>53</v>
      </c>
    </row>
    <row r="17" spans="1:5" x14ac:dyDescent="0.3">
      <c r="A17" t="s">
        <v>54</v>
      </c>
      <c r="B17">
        <v>10</v>
      </c>
    </row>
    <row r="18" spans="1:5" x14ac:dyDescent="0.3">
      <c r="A18" t="s">
        <v>55</v>
      </c>
      <c r="B18" t="s">
        <v>56</v>
      </c>
      <c r="C18" t="s">
        <v>57</v>
      </c>
    </row>
    <row r="19" spans="1:5" x14ac:dyDescent="0.3">
      <c r="A19" t="s">
        <v>58</v>
      </c>
      <c r="B19" t="s">
        <v>59</v>
      </c>
      <c r="C19" t="s">
        <v>60</v>
      </c>
      <c r="D19" t="s">
        <v>61</v>
      </c>
    </row>
    <row r="20" spans="1:5" x14ac:dyDescent="0.3">
      <c r="A20" t="s">
        <v>62</v>
      </c>
      <c r="B20" t="s">
        <v>63</v>
      </c>
      <c r="C20" t="s">
        <v>64</v>
      </c>
    </row>
    <row r="21" spans="1:5" x14ac:dyDescent="0.3">
      <c r="A21" t="s">
        <v>65</v>
      </c>
      <c r="B21" t="s">
        <v>66</v>
      </c>
      <c r="C21" t="s">
        <v>67</v>
      </c>
    </row>
    <row r="22" spans="1:5" x14ac:dyDescent="0.3">
      <c r="A22" t="s">
        <v>68</v>
      </c>
      <c r="B22" t="s">
        <v>69</v>
      </c>
      <c r="C22" t="s">
        <v>70</v>
      </c>
      <c r="D22" t="s">
        <v>71</v>
      </c>
      <c r="E22" t="s">
        <v>72</v>
      </c>
    </row>
    <row r="23" spans="1:5" x14ac:dyDescent="0.3">
      <c r="A23" t="s">
        <v>73</v>
      </c>
      <c r="B23">
        <v>773.05</v>
      </c>
      <c r="C23" s="6">
        <v>-1703.58</v>
      </c>
    </row>
    <row r="24" spans="1:5" x14ac:dyDescent="0.3">
      <c r="A24" t="s">
        <v>74</v>
      </c>
      <c r="B24" t="s">
        <v>75</v>
      </c>
      <c r="C24" t="s">
        <v>76</v>
      </c>
    </row>
    <row r="25" spans="1:5" x14ac:dyDescent="0.3">
      <c r="A25" t="s">
        <v>18</v>
      </c>
    </row>
    <row r="26" spans="1:5" x14ac:dyDescent="0.3">
      <c r="A26" t="s">
        <v>77</v>
      </c>
      <c r="B26" t="s">
        <v>78</v>
      </c>
    </row>
    <row r="27" spans="1:5" x14ac:dyDescent="0.3">
      <c r="A27" t="s">
        <v>79</v>
      </c>
      <c r="B27" t="s">
        <v>80</v>
      </c>
      <c r="C27" t="s">
        <v>81</v>
      </c>
    </row>
    <row r="28" spans="1:5" x14ac:dyDescent="0.3">
      <c r="A28" t="s">
        <v>82</v>
      </c>
      <c r="B28" t="s">
        <v>83</v>
      </c>
      <c r="C28" t="s">
        <v>84</v>
      </c>
    </row>
    <row r="29" spans="1:5" x14ac:dyDescent="0.3">
      <c r="A29" t="s">
        <v>85</v>
      </c>
      <c r="B29" t="s">
        <v>86</v>
      </c>
      <c r="C29" t="s">
        <v>87</v>
      </c>
    </row>
    <row r="30" spans="1:5" x14ac:dyDescent="0.3">
      <c r="A30" t="s">
        <v>88</v>
      </c>
      <c r="B30" t="s">
        <v>89</v>
      </c>
      <c r="C30" t="s">
        <v>90</v>
      </c>
    </row>
    <row r="31" spans="1:5" x14ac:dyDescent="0.3">
      <c r="A31" t="s">
        <v>91</v>
      </c>
      <c r="B31" t="s">
        <v>92</v>
      </c>
      <c r="C31" t="s">
        <v>93</v>
      </c>
    </row>
    <row r="32" spans="1:5" x14ac:dyDescent="0.3">
      <c r="A32" t="s">
        <v>94</v>
      </c>
      <c r="B32" t="s">
        <v>95</v>
      </c>
      <c r="C32" t="s">
        <v>96</v>
      </c>
      <c r="D32" t="s">
        <v>97</v>
      </c>
      <c r="E32" t="s">
        <v>98</v>
      </c>
    </row>
    <row r="33" spans="1:5" x14ac:dyDescent="0.3">
      <c r="A33" t="s">
        <v>99</v>
      </c>
      <c r="B33" t="s">
        <v>100</v>
      </c>
      <c r="C33" t="s">
        <v>101</v>
      </c>
    </row>
    <row r="34" spans="1:5" x14ac:dyDescent="0.3">
      <c r="A34" t="s">
        <v>102</v>
      </c>
      <c r="B34" t="s">
        <v>103</v>
      </c>
      <c r="C34" t="s">
        <v>104</v>
      </c>
      <c r="D34" t="s">
        <v>105</v>
      </c>
      <c r="E34" t="s">
        <v>106</v>
      </c>
    </row>
    <row r="35" spans="1:5" x14ac:dyDescent="0.3">
      <c r="A35" t="s">
        <v>107</v>
      </c>
      <c r="B35" t="s">
        <v>108</v>
      </c>
      <c r="C35" t="s">
        <v>109</v>
      </c>
    </row>
    <row r="36" spans="1:5" x14ac:dyDescent="0.3">
      <c r="A36" t="s">
        <v>110</v>
      </c>
      <c r="B36" t="s">
        <v>111</v>
      </c>
      <c r="C36" t="s">
        <v>112</v>
      </c>
    </row>
    <row r="37" spans="1:5" x14ac:dyDescent="0.3">
      <c r="A37" t="s">
        <v>102</v>
      </c>
      <c r="B37" t="s">
        <v>103</v>
      </c>
      <c r="C37" t="s">
        <v>113</v>
      </c>
      <c r="D37" t="s">
        <v>114</v>
      </c>
      <c r="E37" t="s">
        <v>115</v>
      </c>
    </row>
    <row r="38" spans="1:5" x14ac:dyDescent="0.3">
      <c r="A38" t="s">
        <v>116</v>
      </c>
      <c r="B38" t="s">
        <v>117</v>
      </c>
      <c r="C38" t="s">
        <v>118</v>
      </c>
    </row>
    <row r="39" spans="1:5" x14ac:dyDescent="0.3">
      <c r="A39" t="s">
        <v>119</v>
      </c>
      <c r="B39" t="s">
        <v>120</v>
      </c>
      <c r="C39" t="s">
        <v>121</v>
      </c>
    </row>
    <row r="40" spans="1:5" x14ac:dyDescent="0.3">
      <c r="A40" t="s">
        <v>122</v>
      </c>
      <c r="B40">
        <v>310</v>
      </c>
    </row>
    <row r="41" spans="1:5" x14ac:dyDescent="0.3">
      <c r="A41" t="s">
        <v>19</v>
      </c>
    </row>
    <row r="42" spans="1:5" x14ac:dyDescent="0.3">
      <c r="A42" t="s">
        <v>20</v>
      </c>
    </row>
    <row r="43" spans="1:5" x14ac:dyDescent="0.3">
      <c r="A43" t="s">
        <v>123</v>
      </c>
      <c r="B43" t="s">
        <v>124</v>
      </c>
      <c r="C43"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F8AF3-5D40-4C61-A33E-09A832083E1E}">
  <dimension ref="B2:N10"/>
  <sheetViews>
    <sheetView tabSelected="1" workbookViewId="0">
      <selection activeCell="D5" sqref="D5"/>
    </sheetView>
  </sheetViews>
  <sheetFormatPr defaultRowHeight="14.4" x14ac:dyDescent="0.3"/>
  <cols>
    <col min="1" max="1" width="4.6640625" customWidth="1"/>
    <col min="2" max="2" width="4.44140625" customWidth="1"/>
    <col min="3" max="3" width="15.44140625" bestFit="1" customWidth="1"/>
    <col min="4" max="4" width="8" bestFit="1" customWidth="1"/>
    <col min="5" max="5" width="15.6640625" bestFit="1" customWidth="1"/>
    <col min="6" max="6" width="14.77734375" customWidth="1"/>
    <col min="7" max="8" width="13.6640625" bestFit="1" customWidth="1"/>
    <col min="9" max="9" width="13.6640625" customWidth="1"/>
    <col min="10" max="10" width="10.33203125" bestFit="1" customWidth="1"/>
    <col min="11" max="11" width="12.6640625" bestFit="1" customWidth="1"/>
    <col min="12" max="12" width="12.6640625" customWidth="1"/>
    <col min="13" max="13" width="18.88671875" bestFit="1" customWidth="1"/>
    <col min="14" max="14" width="12.6640625" bestFit="1" customWidth="1"/>
  </cols>
  <sheetData>
    <row r="2" spans="2:14" x14ac:dyDescent="0.3">
      <c r="B2" s="185"/>
    </row>
    <row r="3" spans="2:14" x14ac:dyDescent="0.3">
      <c r="B3" t="s">
        <v>270</v>
      </c>
      <c r="C3" t="s">
        <v>223</v>
      </c>
      <c r="D3" t="s">
        <v>277</v>
      </c>
      <c r="E3" t="s">
        <v>279</v>
      </c>
      <c r="F3" t="s">
        <v>284</v>
      </c>
      <c r="G3" t="s">
        <v>278</v>
      </c>
      <c r="H3" t="s">
        <v>280</v>
      </c>
      <c r="I3" t="s">
        <v>260</v>
      </c>
      <c r="J3" t="s">
        <v>285</v>
      </c>
      <c r="K3" t="s">
        <v>281</v>
      </c>
      <c r="L3" t="s">
        <v>286</v>
      </c>
      <c r="M3" t="s">
        <v>282</v>
      </c>
      <c r="N3" t="s">
        <v>283</v>
      </c>
    </row>
    <row r="4" spans="2:14" x14ac:dyDescent="0.3">
      <c r="B4">
        <v>1</v>
      </c>
      <c r="C4" t="s">
        <v>229</v>
      </c>
      <c r="D4" s="13">
        <v>748.35</v>
      </c>
      <c r="E4" s="13">
        <v>244.55</v>
      </c>
      <c r="F4" s="13">
        <f>E4*D4</f>
        <v>183008.99250000002</v>
      </c>
      <c r="G4" s="13">
        <v>95258</v>
      </c>
      <c r="H4" s="13">
        <v>12348</v>
      </c>
      <c r="I4" s="13">
        <f>G4-H4</f>
        <v>82910</v>
      </c>
      <c r="J4" s="13">
        <f>F4+G4-H4</f>
        <v>265918.99250000005</v>
      </c>
      <c r="K4" s="13">
        <v>170836</v>
      </c>
      <c r="L4" s="186">
        <v>5837</v>
      </c>
      <c r="M4">
        <v>19500</v>
      </c>
      <c r="N4">
        <v>5043</v>
      </c>
    </row>
    <row r="5" spans="2:14" x14ac:dyDescent="0.3">
      <c r="B5">
        <v>2</v>
      </c>
      <c r="C5" t="s">
        <v>271</v>
      </c>
      <c r="D5" s="13">
        <v>133.97999999999999</v>
      </c>
      <c r="E5" s="13">
        <v>1248.3499999999999</v>
      </c>
      <c r="F5" s="13">
        <f t="shared" ref="F5:F10" si="0">E5*D5</f>
        <v>167253.93299999996</v>
      </c>
      <c r="G5" s="13">
        <v>99391.76</v>
      </c>
      <c r="H5" s="13">
        <v>8677.7199999999993</v>
      </c>
      <c r="I5" s="13">
        <f t="shared" ref="I5:I10" si="1">G5-H5</f>
        <v>90714.04</v>
      </c>
      <c r="J5" s="13">
        <f t="shared" ref="J5:J10" si="2">F5+G5-H5</f>
        <v>257967.97299999997</v>
      </c>
      <c r="K5" s="13">
        <v>222675.29</v>
      </c>
      <c r="L5" s="186" t="s">
        <v>287</v>
      </c>
      <c r="M5">
        <v>33503.97</v>
      </c>
      <c r="N5">
        <v>2754.11</v>
      </c>
    </row>
    <row r="6" spans="2:14" x14ac:dyDescent="0.3">
      <c r="B6">
        <v>3</v>
      </c>
      <c r="C6" t="s">
        <v>272</v>
      </c>
      <c r="D6" s="13">
        <v>3390.2</v>
      </c>
      <c r="E6" s="13">
        <v>19.350000000000001</v>
      </c>
      <c r="F6" s="13">
        <f t="shared" si="0"/>
        <v>65600.37</v>
      </c>
      <c r="G6" s="13">
        <v>698.92</v>
      </c>
      <c r="H6" s="13">
        <v>1227.4000000000001</v>
      </c>
      <c r="I6" s="13">
        <f t="shared" si="1"/>
        <v>-528.48000000000013</v>
      </c>
      <c r="J6" s="13">
        <f t="shared" si="2"/>
        <v>65071.889999999992</v>
      </c>
      <c r="K6" s="13">
        <v>18189.52</v>
      </c>
      <c r="L6" s="186">
        <v>2201.21</v>
      </c>
      <c r="M6">
        <v>2018.64</v>
      </c>
      <c r="N6">
        <v>1712.15</v>
      </c>
    </row>
    <row r="7" spans="2:14" x14ac:dyDescent="0.3">
      <c r="B7">
        <v>4</v>
      </c>
      <c r="C7" t="s">
        <v>273</v>
      </c>
      <c r="D7" s="13">
        <v>493.75</v>
      </c>
      <c r="E7" s="13">
        <v>82.38</v>
      </c>
      <c r="F7" s="13">
        <f t="shared" si="0"/>
        <v>40675.125</v>
      </c>
      <c r="G7" s="13">
        <v>6473.08</v>
      </c>
      <c r="H7" s="13">
        <v>1988.11</v>
      </c>
      <c r="I7" s="13">
        <f t="shared" si="1"/>
        <v>4484.97</v>
      </c>
      <c r="J7" s="13">
        <f t="shared" si="2"/>
        <v>45160.095000000001</v>
      </c>
      <c r="K7" s="13">
        <v>37788.06</v>
      </c>
      <c r="L7" s="186">
        <v>4036</v>
      </c>
      <c r="M7">
        <v>3820.44</v>
      </c>
      <c r="N7">
        <v>2447.36</v>
      </c>
    </row>
    <row r="8" spans="2:14" x14ac:dyDescent="0.3">
      <c r="B8">
        <v>5</v>
      </c>
      <c r="C8" t="s">
        <v>274</v>
      </c>
      <c r="D8" s="13">
        <v>91.18</v>
      </c>
      <c r="E8" s="13">
        <v>413.05</v>
      </c>
      <c r="F8" s="13">
        <f t="shared" si="0"/>
        <v>37661.899000000005</v>
      </c>
      <c r="G8" s="13">
        <v>41265.03</v>
      </c>
      <c r="H8" s="13">
        <v>672.95</v>
      </c>
      <c r="I8" s="13">
        <f t="shared" si="1"/>
        <v>40592.080000000002</v>
      </c>
      <c r="J8" s="13">
        <f t="shared" si="2"/>
        <v>78253.979000000007</v>
      </c>
      <c r="K8" s="13">
        <v>99980.17</v>
      </c>
      <c r="L8" s="186">
        <v>11375.43</v>
      </c>
      <c r="M8">
        <v>9585.9599999999991</v>
      </c>
      <c r="N8">
        <v>2527.5300000000002</v>
      </c>
    </row>
    <row r="9" spans="2:14" x14ac:dyDescent="0.3">
      <c r="B9">
        <v>6</v>
      </c>
      <c r="C9" t="s">
        <v>275</v>
      </c>
      <c r="D9" s="13">
        <v>1373.9</v>
      </c>
      <c r="E9" s="13">
        <v>27.75</v>
      </c>
      <c r="F9" s="13">
        <f t="shared" si="0"/>
        <v>38125.725000000006</v>
      </c>
      <c r="G9" s="13">
        <v>1022.59</v>
      </c>
      <c r="H9" s="13">
        <v>347.6</v>
      </c>
      <c r="I9" s="13">
        <f t="shared" si="1"/>
        <v>674.99</v>
      </c>
      <c r="J9" s="13">
        <f t="shared" si="2"/>
        <v>38800.715000000004</v>
      </c>
      <c r="K9" s="13">
        <v>19946.68</v>
      </c>
      <c r="L9" s="186">
        <v>1267</v>
      </c>
      <c r="M9">
        <v>1069.67</v>
      </c>
      <c r="N9">
        <v>634.39</v>
      </c>
    </row>
    <row r="10" spans="2:14" x14ac:dyDescent="0.3">
      <c r="B10">
        <v>7</v>
      </c>
      <c r="C10" t="s">
        <v>276</v>
      </c>
      <c r="D10" s="13">
        <v>512.4</v>
      </c>
      <c r="E10" s="13">
        <v>27.91</v>
      </c>
      <c r="F10" s="13">
        <f t="shared" si="0"/>
        <v>14301.083999999999</v>
      </c>
      <c r="G10" s="13">
        <v>1086.1300000000001</v>
      </c>
      <c r="H10" s="13">
        <v>50.47</v>
      </c>
      <c r="I10" s="13">
        <f t="shared" si="1"/>
        <v>1035.6600000000001</v>
      </c>
      <c r="J10" s="13">
        <f t="shared" si="2"/>
        <v>15336.744000000001</v>
      </c>
      <c r="K10" s="13">
        <v>14167.12</v>
      </c>
      <c r="L10" s="186" t="s">
        <v>288</v>
      </c>
      <c r="M10">
        <v>1582.01</v>
      </c>
      <c r="N10">
        <v>839.54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156C-9EAF-4C19-99BB-0D1334035146}">
  <dimension ref="A1:K93"/>
  <sheetViews>
    <sheetView topLeftCell="A53" workbookViewId="0">
      <selection activeCell="J57" sqref="J57"/>
    </sheetView>
  </sheetViews>
  <sheetFormatPr defaultRowHeight="14.4" x14ac:dyDescent="0.3"/>
  <cols>
    <col min="1" max="1" width="25.5546875" bestFit="1" customWidth="1"/>
    <col min="2" max="2" width="15.33203125" bestFit="1" customWidth="1"/>
    <col min="3" max="4" width="10" bestFit="1" customWidth="1"/>
    <col min="5" max="9" width="11" bestFit="1" customWidth="1"/>
    <col min="10" max="11" width="12" bestFit="1" customWidth="1"/>
  </cols>
  <sheetData>
    <row r="1" spans="1:11" x14ac:dyDescent="0.3">
      <c r="A1" s="217" t="s">
        <v>315</v>
      </c>
      <c r="B1" s="217" t="s">
        <v>248</v>
      </c>
      <c r="C1" s="217"/>
      <c r="D1" s="217"/>
      <c r="E1" s="234" t="s">
        <v>316</v>
      </c>
      <c r="F1" s="234"/>
      <c r="G1" s="234"/>
      <c r="H1" s="234"/>
      <c r="I1" s="234"/>
      <c r="J1" s="234"/>
      <c r="K1" s="234"/>
    </row>
    <row r="2" spans="1:11" x14ac:dyDescent="0.3">
      <c r="A2" s="217" t="s">
        <v>317</v>
      </c>
      <c r="B2" s="218">
        <v>2.1</v>
      </c>
      <c r="C2" s="216"/>
      <c r="D2" s="216"/>
      <c r="E2" s="235" t="s">
        <v>318</v>
      </c>
      <c r="F2" s="235"/>
      <c r="G2" s="235"/>
      <c r="H2" s="235"/>
      <c r="I2" s="235"/>
      <c r="J2" s="235"/>
      <c r="K2" s="235"/>
    </row>
    <row r="3" spans="1:11" x14ac:dyDescent="0.3">
      <c r="A3" s="217" t="s">
        <v>319</v>
      </c>
      <c r="B3" s="218">
        <v>2.1</v>
      </c>
      <c r="C3" s="216"/>
      <c r="D3" s="216"/>
      <c r="E3" s="216"/>
      <c r="F3" s="216"/>
      <c r="G3" s="216"/>
      <c r="H3" s="216"/>
      <c r="I3" s="216"/>
      <c r="J3" s="216"/>
      <c r="K3" s="216"/>
    </row>
    <row r="4" spans="1:11" x14ac:dyDescent="0.3">
      <c r="A4" s="217"/>
      <c r="B4" s="216"/>
      <c r="C4" s="216"/>
      <c r="D4" s="216"/>
      <c r="E4" s="216"/>
      <c r="F4" s="216"/>
      <c r="G4" s="216"/>
      <c r="H4" s="216"/>
      <c r="I4" s="216"/>
      <c r="J4" s="216"/>
      <c r="K4" s="216"/>
    </row>
    <row r="5" spans="1:11" x14ac:dyDescent="0.3">
      <c r="A5" s="217" t="s">
        <v>320</v>
      </c>
      <c r="B5" s="216"/>
      <c r="C5" s="216"/>
      <c r="D5" s="216"/>
      <c r="E5" s="216"/>
      <c r="F5" s="216"/>
      <c r="G5" s="216"/>
      <c r="H5" s="216"/>
      <c r="I5" s="216"/>
      <c r="J5" s="216"/>
      <c r="K5" s="216"/>
    </row>
    <row r="6" spans="1:11" x14ac:dyDescent="0.3">
      <c r="A6" s="218" t="s">
        <v>321</v>
      </c>
      <c r="B6" s="218" t="s">
        <v>316</v>
      </c>
      <c r="C6" s="216"/>
      <c r="D6" s="216"/>
      <c r="E6" s="216"/>
      <c r="F6" s="216"/>
      <c r="G6" s="216"/>
      <c r="H6" s="216"/>
      <c r="I6" s="216"/>
      <c r="J6" s="216"/>
      <c r="K6" s="216"/>
    </row>
    <row r="7" spans="1:11" x14ac:dyDescent="0.3">
      <c r="A7" s="218" t="s">
        <v>322</v>
      </c>
      <c r="B7" s="216">
        <v>1</v>
      </c>
      <c r="C7" s="216"/>
      <c r="D7" s="216"/>
      <c r="E7" s="216"/>
      <c r="F7" s="216"/>
      <c r="G7" s="216"/>
      <c r="H7" s="216"/>
      <c r="I7" s="216"/>
      <c r="J7" s="216"/>
      <c r="K7" s="216"/>
    </row>
    <row r="8" spans="1:11" x14ac:dyDescent="0.3">
      <c r="A8" s="218" t="s">
        <v>323</v>
      </c>
      <c r="B8" s="216"/>
      <c r="C8" s="216"/>
      <c r="D8" s="216"/>
      <c r="E8" s="216"/>
      <c r="F8" s="216"/>
      <c r="G8" s="216"/>
      <c r="H8" s="216"/>
      <c r="I8" s="216"/>
      <c r="J8" s="216"/>
      <c r="K8" s="216"/>
    </row>
    <row r="9" spans="1:11" x14ac:dyDescent="0.3">
      <c r="A9" s="218" t="s">
        <v>241</v>
      </c>
      <c r="B9" s="216">
        <v>162747.82</v>
      </c>
      <c r="C9" s="216"/>
      <c r="D9" s="216"/>
      <c r="E9" s="216"/>
      <c r="F9" s="216"/>
      <c r="G9" s="216"/>
      <c r="H9" s="216"/>
      <c r="I9" s="216"/>
      <c r="J9" s="216"/>
      <c r="K9" s="216"/>
    </row>
    <row r="15" spans="1:11" x14ac:dyDescent="0.3">
      <c r="A15" s="217" t="s">
        <v>324</v>
      </c>
      <c r="B15" s="216"/>
      <c r="C15" s="216"/>
      <c r="D15" s="216"/>
      <c r="E15" s="216"/>
      <c r="F15" s="216"/>
      <c r="G15" s="216"/>
      <c r="H15" s="216"/>
      <c r="I15" s="216"/>
      <c r="J15" s="216"/>
      <c r="K15" s="216"/>
    </row>
    <row r="16" spans="1:11" x14ac:dyDescent="0.3">
      <c r="A16" s="220" t="s">
        <v>325</v>
      </c>
      <c r="B16" s="219">
        <v>42094</v>
      </c>
      <c r="C16" s="219">
        <v>42460</v>
      </c>
      <c r="D16" s="219">
        <v>42825</v>
      </c>
      <c r="E16" s="219">
        <v>43190</v>
      </c>
      <c r="F16" s="219">
        <v>43555</v>
      </c>
      <c r="G16" s="219">
        <v>43921</v>
      </c>
      <c r="H16" s="219">
        <v>44286</v>
      </c>
      <c r="I16" s="219">
        <v>44651</v>
      </c>
      <c r="J16" s="219">
        <v>45016</v>
      </c>
      <c r="K16" s="219">
        <v>45382</v>
      </c>
    </row>
    <row r="17" spans="1:11" x14ac:dyDescent="0.3">
      <c r="A17" s="218" t="s">
        <v>2</v>
      </c>
      <c r="B17" s="216">
        <v>139503.73000000001</v>
      </c>
      <c r="C17" s="216">
        <v>101964.72</v>
      </c>
      <c r="D17" s="216">
        <v>112299.42</v>
      </c>
      <c r="E17" s="216">
        <v>123249.07</v>
      </c>
      <c r="F17" s="216">
        <v>157668.99</v>
      </c>
      <c r="G17" s="216">
        <v>139816.65</v>
      </c>
      <c r="H17" s="216">
        <v>156294.18</v>
      </c>
      <c r="I17" s="216">
        <v>243959.17</v>
      </c>
      <c r="J17" s="216">
        <v>243352.69</v>
      </c>
      <c r="K17" s="216">
        <v>229170.78</v>
      </c>
    </row>
    <row r="18" spans="1:11" x14ac:dyDescent="0.3">
      <c r="A18" s="218" t="s">
        <v>326</v>
      </c>
      <c r="B18" s="216">
        <v>54545.26</v>
      </c>
      <c r="C18" s="216">
        <v>38696.269999999997</v>
      </c>
      <c r="D18" s="216">
        <v>43843.03</v>
      </c>
      <c r="E18" s="216">
        <v>46137.01</v>
      </c>
      <c r="F18" s="216">
        <v>60877.05</v>
      </c>
      <c r="G18" s="216">
        <v>58039.99</v>
      </c>
      <c r="H18" s="216">
        <v>55423.38</v>
      </c>
      <c r="I18" s="216">
        <v>91076.61</v>
      </c>
      <c r="J18" s="216">
        <v>116597.19</v>
      </c>
      <c r="K18" s="216">
        <v>97506.39</v>
      </c>
    </row>
    <row r="19" spans="1:11" x14ac:dyDescent="0.3">
      <c r="A19" s="218" t="s">
        <v>327</v>
      </c>
      <c r="B19" s="216">
        <v>-1122.18</v>
      </c>
      <c r="C19" s="216">
        <v>-1925.19</v>
      </c>
      <c r="D19" s="216">
        <v>4538.13</v>
      </c>
      <c r="E19" s="216">
        <v>-99.31</v>
      </c>
      <c r="F19" s="216">
        <v>96.71</v>
      </c>
      <c r="G19" s="216">
        <v>565.24</v>
      </c>
      <c r="H19" s="216">
        <v>-1516.77</v>
      </c>
      <c r="I19" s="216">
        <v>7597.87</v>
      </c>
      <c r="J19" s="216">
        <v>3358.89</v>
      </c>
      <c r="K19" s="216">
        <v>-4409.3500000000004</v>
      </c>
    </row>
    <row r="20" spans="1:11" x14ac:dyDescent="0.3">
      <c r="A20" s="218" t="s">
        <v>328</v>
      </c>
      <c r="B20" s="216">
        <v>6845.38</v>
      </c>
      <c r="C20" s="216">
        <v>4993.8900000000003</v>
      </c>
      <c r="D20" s="216">
        <v>5220.83</v>
      </c>
      <c r="E20" s="216">
        <v>4440.43</v>
      </c>
      <c r="F20" s="216">
        <v>5316.56</v>
      </c>
      <c r="G20" s="216">
        <v>5319.92</v>
      </c>
      <c r="H20" s="216">
        <v>5788.48</v>
      </c>
      <c r="I20" s="216">
        <v>8028.29</v>
      </c>
      <c r="J20" s="216">
        <v>9526.91</v>
      </c>
      <c r="K20" s="216">
        <v>10071.85</v>
      </c>
    </row>
    <row r="21" spans="1:11" x14ac:dyDescent="0.3">
      <c r="A21" s="218" t="s">
        <v>329</v>
      </c>
      <c r="B21" s="216">
        <v>20370.48</v>
      </c>
      <c r="C21" s="216">
        <v>16034.28</v>
      </c>
      <c r="D21" s="216">
        <v>15799.14</v>
      </c>
      <c r="E21" s="216">
        <v>16955.79</v>
      </c>
      <c r="F21" s="216">
        <v>20734.28</v>
      </c>
      <c r="G21" s="216">
        <v>21232.69</v>
      </c>
      <c r="H21" s="216">
        <v>20744.919999999998</v>
      </c>
      <c r="I21" s="216">
        <v>28834.06</v>
      </c>
      <c r="J21" s="216">
        <v>33144.83</v>
      </c>
      <c r="K21" s="216">
        <v>34263.1</v>
      </c>
    </row>
    <row r="22" spans="1:11" x14ac:dyDescent="0.3">
      <c r="A22" s="218" t="s">
        <v>330</v>
      </c>
      <c r="B22" s="216">
        <v>21407.64</v>
      </c>
      <c r="C22" s="216">
        <v>17587.63</v>
      </c>
      <c r="D22" s="216">
        <v>17252.22</v>
      </c>
      <c r="E22" s="216">
        <v>17077.509999999998</v>
      </c>
      <c r="F22" s="216">
        <v>18758.87</v>
      </c>
      <c r="G22" s="216">
        <v>18533.580000000002</v>
      </c>
      <c r="H22" s="216">
        <v>19908.810000000001</v>
      </c>
      <c r="I22" s="216">
        <v>23264.1</v>
      </c>
      <c r="J22" s="216">
        <v>22419.32</v>
      </c>
      <c r="K22" s="216">
        <v>24509.58</v>
      </c>
    </row>
    <row r="23" spans="1:11" x14ac:dyDescent="0.3">
      <c r="A23" s="218" t="s">
        <v>331</v>
      </c>
      <c r="B23" s="216">
        <v>15868.37</v>
      </c>
      <c r="C23" s="216">
        <v>12908.42</v>
      </c>
      <c r="D23" s="216">
        <v>13772.32</v>
      </c>
      <c r="E23" s="216">
        <v>14423.87</v>
      </c>
      <c r="F23" s="216">
        <v>16917.14</v>
      </c>
      <c r="G23" s="216">
        <v>15599.07</v>
      </c>
      <c r="H23" s="216">
        <v>16923.93</v>
      </c>
      <c r="I23" s="216">
        <v>27445.67</v>
      </c>
      <c r="J23" s="216">
        <v>25519.919999999998</v>
      </c>
      <c r="K23" s="216">
        <v>27155.29</v>
      </c>
    </row>
    <row r="24" spans="1:11" x14ac:dyDescent="0.3">
      <c r="A24" s="218" t="s">
        <v>332</v>
      </c>
      <c r="B24" s="216">
        <v>15935.54</v>
      </c>
      <c r="C24" s="216">
        <v>10444.280000000001</v>
      </c>
      <c r="D24" s="216">
        <v>7806.38</v>
      </c>
      <c r="E24" s="216">
        <v>2681.96</v>
      </c>
      <c r="F24" s="216">
        <v>5843.58</v>
      </c>
      <c r="G24" s="216">
        <v>4193.58</v>
      </c>
      <c r="H24" s="216">
        <v>5483.63</v>
      </c>
      <c r="I24" s="216">
        <v>9418.36</v>
      </c>
      <c r="J24" s="216">
        <v>7203.25</v>
      </c>
      <c r="K24" s="216">
        <v>9007.2999999999993</v>
      </c>
    </row>
    <row r="25" spans="1:11" x14ac:dyDescent="0.3">
      <c r="A25" s="218" t="s">
        <v>333</v>
      </c>
      <c r="B25" s="216">
        <v>5994.38</v>
      </c>
      <c r="C25" s="216">
        <v>10345.870000000001</v>
      </c>
      <c r="D25" s="216">
        <v>-3789.11</v>
      </c>
      <c r="E25" s="216">
        <v>10898.41</v>
      </c>
      <c r="F25" s="216">
        <v>1524.31</v>
      </c>
      <c r="G25" s="216">
        <v>-2883.63</v>
      </c>
      <c r="H25" s="216">
        <v>179.78</v>
      </c>
      <c r="I25" s="216">
        <v>1299.99</v>
      </c>
      <c r="J25" s="216">
        <v>1568.86</v>
      </c>
      <c r="K25" s="216">
        <v>-6005.23</v>
      </c>
    </row>
    <row r="26" spans="1:11" x14ac:dyDescent="0.3">
      <c r="A26" s="218" t="s">
        <v>334</v>
      </c>
      <c r="B26" s="216">
        <v>5943.6</v>
      </c>
      <c r="C26" s="216">
        <v>5306.35</v>
      </c>
      <c r="D26" s="216">
        <v>5672.88</v>
      </c>
      <c r="E26" s="216">
        <v>5741.7</v>
      </c>
      <c r="F26" s="216">
        <v>7341.83</v>
      </c>
      <c r="G26" s="216">
        <v>8440.73</v>
      </c>
      <c r="H26" s="216">
        <v>9233.64</v>
      </c>
      <c r="I26" s="216">
        <v>9100.8700000000008</v>
      </c>
      <c r="J26" s="216">
        <v>9335.2000000000007</v>
      </c>
      <c r="K26" s="216">
        <v>9882.16</v>
      </c>
    </row>
    <row r="27" spans="1:11" x14ac:dyDescent="0.3">
      <c r="A27" s="218" t="s">
        <v>335</v>
      </c>
      <c r="B27" s="216">
        <v>4847.75</v>
      </c>
      <c r="C27" s="216">
        <v>4221.41</v>
      </c>
      <c r="D27" s="216">
        <v>5072.2</v>
      </c>
      <c r="E27" s="216">
        <v>5454.74</v>
      </c>
      <c r="F27" s="216">
        <v>7660.1</v>
      </c>
      <c r="G27" s="216">
        <v>7533.46</v>
      </c>
      <c r="H27" s="216">
        <v>7606.71</v>
      </c>
      <c r="I27" s="216">
        <v>5462.2</v>
      </c>
      <c r="J27" s="216">
        <v>6298.7</v>
      </c>
      <c r="K27" s="216">
        <v>7507.57</v>
      </c>
    </row>
    <row r="28" spans="1:11" x14ac:dyDescent="0.3">
      <c r="A28" s="218" t="s">
        <v>336</v>
      </c>
      <c r="B28" s="216">
        <v>-1388.09</v>
      </c>
      <c r="C28" s="216">
        <v>192.87</v>
      </c>
      <c r="D28" s="216">
        <v>-1390.56</v>
      </c>
      <c r="E28" s="216">
        <v>21135.16</v>
      </c>
      <c r="F28" s="216">
        <v>15840.6</v>
      </c>
      <c r="G28" s="216">
        <v>-1394.76</v>
      </c>
      <c r="H28" s="216">
        <v>13843.69</v>
      </c>
      <c r="I28" s="216">
        <v>50226.87</v>
      </c>
      <c r="J28" s="216">
        <v>18235.12</v>
      </c>
      <c r="K28" s="216">
        <v>-1147.04</v>
      </c>
    </row>
    <row r="29" spans="1:11" x14ac:dyDescent="0.3">
      <c r="A29" s="218" t="s">
        <v>337</v>
      </c>
      <c r="B29" s="216">
        <v>2567.41</v>
      </c>
      <c r="C29" s="216">
        <v>689.96</v>
      </c>
      <c r="D29" s="216">
        <v>2778.01</v>
      </c>
      <c r="E29" s="216">
        <v>3392.33</v>
      </c>
      <c r="F29" s="216">
        <v>6718.43</v>
      </c>
      <c r="G29" s="216">
        <v>-2568.41</v>
      </c>
      <c r="H29" s="216">
        <v>5653.9</v>
      </c>
      <c r="I29" s="216">
        <v>8477.5499999999993</v>
      </c>
      <c r="J29" s="216">
        <v>10159.77</v>
      </c>
      <c r="K29" s="216">
        <v>3762.57</v>
      </c>
    </row>
    <row r="30" spans="1:11" x14ac:dyDescent="0.3">
      <c r="A30" s="218" t="s">
        <v>338</v>
      </c>
      <c r="B30" s="216">
        <v>-3925.52</v>
      </c>
      <c r="C30" s="216">
        <v>-382.78</v>
      </c>
      <c r="D30" s="216">
        <v>-4240.8</v>
      </c>
      <c r="E30" s="216">
        <v>13434.33</v>
      </c>
      <c r="F30" s="216">
        <v>10218.33</v>
      </c>
      <c r="G30" s="216">
        <v>1556.54</v>
      </c>
      <c r="H30" s="216">
        <v>7490.22</v>
      </c>
      <c r="I30" s="216">
        <v>40153.93</v>
      </c>
      <c r="J30" s="216">
        <v>8760.4</v>
      </c>
      <c r="K30" s="216">
        <v>-4437.4399999999996</v>
      </c>
    </row>
    <row r="31" spans="1:11" x14ac:dyDescent="0.3">
      <c r="A31" s="218" t="s">
        <v>339</v>
      </c>
      <c r="B31" s="216">
        <v>777.13</v>
      </c>
      <c r="C31" s="216">
        <v>776.19</v>
      </c>
      <c r="D31" s="216">
        <v>970.24</v>
      </c>
      <c r="E31" s="216">
        <v>1144.95</v>
      </c>
      <c r="F31" s="216">
        <v>1488.42</v>
      </c>
      <c r="G31" s="216">
        <v>1144.95</v>
      </c>
      <c r="H31" s="216">
        <v>2994.02</v>
      </c>
      <c r="I31" s="216">
        <v>6228.17</v>
      </c>
      <c r="J31" s="216">
        <v>4396.46</v>
      </c>
      <c r="K31" s="216">
        <v>4490.78</v>
      </c>
    </row>
    <row r="32" spans="1:11" x14ac:dyDescent="0.3">
      <c r="A32" s="218"/>
      <c r="B32" s="218"/>
      <c r="C32" s="218"/>
      <c r="D32" s="218"/>
      <c r="E32" s="218"/>
      <c r="F32" s="218"/>
      <c r="G32" s="218"/>
      <c r="H32" s="218"/>
      <c r="I32" s="218"/>
      <c r="J32" s="218"/>
      <c r="K32" s="218"/>
    </row>
    <row r="33" spans="1:11" x14ac:dyDescent="0.3">
      <c r="A33" s="218"/>
      <c r="B33" s="216"/>
      <c r="C33" s="216"/>
      <c r="D33" s="216"/>
      <c r="E33" s="216"/>
      <c r="F33" s="216"/>
      <c r="G33" s="216"/>
      <c r="H33" s="216"/>
      <c r="I33" s="216"/>
      <c r="J33" s="216"/>
      <c r="K33" s="216"/>
    </row>
    <row r="34" spans="1:11" x14ac:dyDescent="0.3">
      <c r="A34" s="218"/>
      <c r="B34" s="216"/>
      <c r="C34" s="216"/>
      <c r="D34" s="216"/>
      <c r="E34" s="216"/>
      <c r="F34" s="216"/>
      <c r="G34" s="216"/>
      <c r="H34" s="216"/>
      <c r="I34" s="216"/>
      <c r="J34" s="216"/>
      <c r="K34" s="216"/>
    </row>
    <row r="35" spans="1:11" x14ac:dyDescent="0.3">
      <c r="A35" s="218"/>
      <c r="B35" s="216"/>
      <c r="C35" s="216"/>
      <c r="D35" s="216"/>
      <c r="E35" s="216"/>
      <c r="F35" s="216"/>
      <c r="G35" s="216"/>
      <c r="H35" s="216"/>
      <c r="I35" s="216"/>
      <c r="J35" s="216"/>
      <c r="K35" s="216"/>
    </row>
    <row r="36" spans="1:11" x14ac:dyDescent="0.3">
      <c r="A36" s="218"/>
      <c r="B36" s="216"/>
      <c r="C36" s="216"/>
      <c r="D36" s="216"/>
      <c r="E36" s="216"/>
      <c r="F36" s="216"/>
      <c r="G36" s="216"/>
      <c r="H36" s="216"/>
      <c r="I36" s="216"/>
      <c r="J36" s="216"/>
      <c r="K36" s="216"/>
    </row>
    <row r="37" spans="1:11" x14ac:dyDescent="0.3">
      <c r="A37" s="218"/>
      <c r="B37" s="216"/>
      <c r="C37" s="216"/>
      <c r="D37" s="216"/>
      <c r="E37" s="216"/>
      <c r="F37" s="216"/>
      <c r="G37" s="216"/>
      <c r="H37" s="216"/>
      <c r="I37" s="216"/>
      <c r="J37" s="216"/>
      <c r="K37" s="216"/>
    </row>
    <row r="38" spans="1:11" x14ac:dyDescent="0.3">
      <c r="A38" s="218"/>
      <c r="B38" s="216"/>
      <c r="C38" s="216"/>
      <c r="D38" s="216"/>
      <c r="E38" s="216"/>
      <c r="F38" s="216"/>
      <c r="G38" s="216"/>
      <c r="H38" s="216"/>
      <c r="I38" s="216"/>
      <c r="J38" s="216"/>
      <c r="K38" s="216"/>
    </row>
    <row r="39" spans="1:11" x14ac:dyDescent="0.3">
      <c r="A39" s="218"/>
      <c r="B39" s="216"/>
      <c r="C39" s="216"/>
      <c r="D39" s="216"/>
      <c r="E39" s="216"/>
      <c r="F39" s="216"/>
      <c r="G39" s="216"/>
      <c r="H39" s="216"/>
      <c r="I39" s="216"/>
      <c r="J39" s="216"/>
      <c r="K39" s="216"/>
    </row>
    <row r="40" spans="1:11" x14ac:dyDescent="0.3">
      <c r="A40" s="217" t="s">
        <v>340</v>
      </c>
      <c r="B40" s="216"/>
      <c r="C40" s="216"/>
      <c r="D40" s="216"/>
      <c r="E40" s="216"/>
      <c r="F40" s="216"/>
      <c r="G40" s="216"/>
      <c r="H40" s="216"/>
      <c r="I40" s="216"/>
      <c r="J40" s="216"/>
      <c r="K40" s="216"/>
    </row>
    <row r="41" spans="1:11" x14ac:dyDescent="0.3">
      <c r="A41" s="220" t="s">
        <v>325</v>
      </c>
      <c r="B41" s="219">
        <v>44742</v>
      </c>
      <c r="C41" s="219">
        <v>44834</v>
      </c>
      <c r="D41" s="219">
        <v>44926</v>
      </c>
      <c r="E41" s="219">
        <v>45016</v>
      </c>
      <c r="F41" s="219">
        <v>45107</v>
      </c>
      <c r="G41" s="219">
        <v>45199</v>
      </c>
      <c r="H41" s="219">
        <v>45291</v>
      </c>
      <c r="I41" s="219">
        <v>45382</v>
      </c>
      <c r="J41" s="219">
        <v>45473</v>
      </c>
      <c r="K41" s="219">
        <v>45565</v>
      </c>
    </row>
    <row r="42" spans="1:11" x14ac:dyDescent="0.3">
      <c r="A42" s="218" t="s">
        <v>2</v>
      </c>
      <c r="B42" s="216">
        <v>63430.07</v>
      </c>
      <c r="C42" s="216">
        <v>59877.52</v>
      </c>
      <c r="D42" s="216">
        <v>57083.56</v>
      </c>
      <c r="E42" s="216">
        <v>62961.54</v>
      </c>
      <c r="F42" s="216">
        <v>59489.66</v>
      </c>
      <c r="G42" s="216">
        <v>55681.93</v>
      </c>
      <c r="H42" s="216">
        <v>55311.88</v>
      </c>
      <c r="I42" s="216">
        <v>58687.31</v>
      </c>
      <c r="J42" s="216">
        <v>54771.39</v>
      </c>
      <c r="K42" s="216">
        <v>53904.71</v>
      </c>
    </row>
    <row r="43" spans="1:11" x14ac:dyDescent="0.3">
      <c r="A43" s="218" t="s">
        <v>341</v>
      </c>
      <c r="B43" s="216">
        <v>48457.27</v>
      </c>
      <c r="C43" s="216">
        <v>53817.2</v>
      </c>
      <c r="D43" s="216">
        <v>53035.72</v>
      </c>
      <c r="E43" s="216">
        <v>55742.34</v>
      </c>
      <c r="F43" s="216">
        <v>54587.06</v>
      </c>
      <c r="G43" s="216">
        <v>51414.11</v>
      </c>
      <c r="H43" s="216">
        <v>49048.31</v>
      </c>
      <c r="I43" s="216">
        <v>52086.68</v>
      </c>
      <c r="J43" s="216">
        <v>48076.92</v>
      </c>
      <c r="K43" s="216">
        <v>47788.92</v>
      </c>
    </row>
    <row r="44" spans="1:11" x14ac:dyDescent="0.3">
      <c r="A44" s="218" t="s">
        <v>333</v>
      </c>
      <c r="B44" s="216">
        <v>388.36</v>
      </c>
      <c r="C44" s="216">
        <v>411.69</v>
      </c>
      <c r="D44" s="216">
        <v>491.43</v>
      </c>
      <c r="E44" s="216">
        <v>277.38</v>
      </c>
      <c r="F44" s="216">
        <v>1190.24</v>
      </c>
      <c r="G44" s="216">
        <v>-6567.77</v>
      </c>
      <c r="H44" s="216">
        <v>-32.840000000000003</v>
      </c>
      <c r="I44" s="216">
        <v>-381.56</v>
      </c>
      <c r="J44" s="216">
        <v>-5.51</v>
      </c>
      <c r="K44" s="216">
        <v>616.67999999999995</v>
      </c>
    </row>
    <row r="45" spans="1:11" x14ac:dyDescent="0.3">
      <c r="A45" s="218" t="s">
        <v>334</v>
      </c>
      <c r="B45" s="216">
        <v>2236.79</v>
      </c>
      <c r="C45" s="216">
        <v>2347.8200000000002</v>
      </c>
      <c r="D45" s="216">
        <v>2368.38</v>
      </c>
      <c r="E45" s="216">
        <v>2382.21</v>
      </c>
      <c r="F45" s="216">
        <v>2412.3200000000002</v>
      </c>
      <c r="G45" s="216">
        <v>2479.85</v>
      </c>
      <c r="H45" s="216">
        <v>2422.04</v>
      </c>
      <c r="I45" s="216">
        <v>2567.9499999999998</v>
      </c>
      <c r="J45" s="216">
        <v>2535.4299999999998</v>
      </c>
      <c r="K45" s="216">
        <v>2596.7399999999998</v>
      </c>
    </row>
    <row r="46" spans="1:11" x14ac:dyDescent="0.3">
      <c r="A46" s="218" t="s">
        <v>335</v>
      </c>
      <c r="B46" s="216">
        <v>1218.1099999999999</v>
      </c>
      <c r="C46" s="216">
        <v>1519.07</v>
      </c>
      <c r="D46" s="216">
        <v>1767.92</v>
      </c>
      <c r="E46" s="216">
        <v>1793.6</v>
      </c>
      <c r="F46" s="216">
        <v>1825.15</v>
      </c>
      <c r="G46" s="216">
        <v>1959.39</v>
      </c>
      <c r="H46" s="216">
        <v>1880.78</v>
      </c>
      <c r="I46" s="216">
        <v>1842.25</v>
      </c>
      <c r="J46" s="216">
        <v>1776.71</v>
      </c>
      <c r="K46" s="216">
        <v>1971.4</v>
      </c>
    </row>
    <row r="47" spans="1:11" x14ac:dyDescent="0.3">
      <c r="A47" s="218" t="s">
        <v>336</v>
      </c>
      <c r="B47" s="216">
        <v>11906.26</v>
      </c>
      <c r="C47" s="216">
        <v>2605.12</v>
      </c>
      <c r="D47" s="216">
        <v>402.97</v>
      </c>
      <c r="E47" s="216">
        <v>3320.77</v>
      </c>
      <c r="F47" s="216">
        <v>1855.37</v>
      </c>
      <c r="G47" s="216">
        <v>-6739.19</v>
      </c>
      <c r="H47" s="216">
        <v>1927.91</v>
      </c>
      <c r="I47" s="216">
        <v>1808.87</v>
      </c>
      <c r="J47" s="216">
        <v>2376.8200000000002</v>
      </c>
      <c r="K47" s="216">
        <v>2164.33</v>
      </c>
    </row>
    <row r="48" spans="1:11" x14ac:dyDescent="0.3">
      <c r="A48" s="218" t="s">
        <v>337</v>
      </c>
      <c r="B48" s="216">
        <v>4192.26</v>
      </c>
      <c r="C48" s="216">
        <v>1308.06</v>
      </c>
      <c r="D48" s="216">
        <v>2904.92</v>
      </c>
      <c r="E48" s="216">
        <v>1754.53</v>
      </c>
      <c r="F48" s="216">
        <v>1330.52</v>
      </c>
      <c r="G48" s="216">
        <v>-228.03</v>
      </c>
      <c r="H48" s="216">
        <v>1405.77</v>
      </c>
      <c r="I48" s="216">
        <v>1254.31</v>
      </c>
      <c r="J48" s="216">
        <v>1458.25</v>
      </c>
      <c r="K48" s="216">
        <v>1405.49</v>
      </c>
    </row>
    <row r="49" spans="1:11" x14ac:dyDescent="0.3">
      <c r="A49" s="218" t="s">
        <v>338</v>
      </c>
      <c r="B49" s="216">
        <v>7764.96</v>
      </c>
      <c r="C49" s="216">
        <v>1514.42</v>
      </c>
      <c r="D49" s="216">
        <v>-2223.84</v>
      </c>
      <c r="E49" s="216">
        <v>1704.86</v>
      </c>
      <c r="F49" s="216">
        <v>633.95000000000005</v>
      </c>
      <c r="G49" s="216">
        <v>-6196.24</v>
      </c>
      <c r="H49" s="216">
        <v>513.37</v>
      </c>
      <c r="I49" s="216">
        <v>611.48</v>
      </c>
      <c r="J49" s="216">
        <v>959.61</v>
      </c>
      <c r="K49" s="216">
        <v>833.45</v>
      </c>
    </row>
    <row r="50" spans="1:11" x14ac:dyDescent="0.3">
      <c r="A50" s="218" t="s">
        <v>342</v>
      </c>
      <c r="B50" s="216">
        <v>14972.8</v>
      </c>
      <c r="C50" s="216">
        <v>6060.32</v>
      </c>
      <c r="D50" s="216">
        <v>4047.84</v>
      </c>
      <c r="E50" s="216">
        <v>7219.2</v>
      </c>
      <c r="F50" s="216">
        <v>4902.6000000000004</v>
      </c>
      <c r="G50" s="216">
        <v>4267.82</v>
      </c>
      <c r="H50" s="216">
        <v>6263.57</v>
      </c>
      <c r="I50" s="216">
        <v>6600.63</v>
      </c>
      <c r="J50" s="216">
        <v>6694.47</v>
      </c>
      <c r="K50" s="216">
        <v>6115.79</v>
      </c>
    </row>
    <row r="51" spans="1:11" x14ac:dyDescent="0.3">
      <c r="A51" s="218"/>
      <c r="B51" s="216"/>
      <c r="C51" s="216"/>
      <c r="D51" s="216"/>
      <c r="E51" s="216"/>
      <c r="F51" s="216"/>
      <c r="G51" s="216"/>
      <c r="H51" s="216"/>
      <c r="I51" s="216"/>
      <c r="J51" s="216"/>
      <c r="K51" s="216"/>
    </row>
    <row r="52" spans="1:11" x14ac:dyDescent="0.3">
      <c r="A52" s="218"/>
      <c r="B52" s="216"/>
      <c r="C52" s="216"/>
      <c r="D52" s="216"/>
      <c r="E52" s="216"/>
      <c r="F52" s="216"/>
      <c r="G52" s="216"/>
      <c r="H52" s="216"/>
      <c r="I52" s="216"/>
      <c r="J52" s="216"/>
      <c r="K52" s="216"/>
    </row>
    <row r="53" spans="1:11" x14ac:dyDescent="0.3">
      <c r="A53" s="218"/>
      <c r="B53" s="216"/>
      <c r="C53" s="216"/>
      <c r="D53" s="216"/>
      <c r="E53" s="216"/>
      <c r="F53" s="216"/>
      <c r="G53" s="216"/>
      <c r="H53" s="216"/>
      <c r="I53" s="216"/>
      <c r="J53" s="216"/>
      <c r="K53" s="216"/>
    </row>
    <row r="54" spans="1:11" x14ac:dyDescent="0.3">
      <c r="A54" s="218"/>
      <c r="B54" s="216"/>
      <c r="C54" s="216"/>
      <c r="D54" s="216"/>
      <c r="E54" s="216"/>
      <c r="F54" s="216"/>
      <c r="G54" s="216"/>
      <c r="H54" s="216"/>
      <c r="I54" s="216"/>
      <c r="J54" s="216"/>
      <c r="K54" s="216"/>
    </row>
    <row r="55" spans="1:11" x14ac:dyDescent="0.3">
      <c r="A55" s="217" t="s">
        <v>343</v>
      </c>
      <c r="B55" s="216"/>
      <c r="C55" s="216"/>
      <c r="D55" s="216"/>
      <c r="E55" s="216"/>
      <c r="F55" s="216"/>
      <c r="G55" s="216"/>
      <c r="H55" s="216"/>
      <c r="I55" s="216"/>
      <c r="J55" s="216"/>
      <c r="K55" s="216"/>
    </row>
    <row r="56" spans="1:11" x14ac:dyDescent="0.3">
      <c r="A56" s="220" t="s">
        <v>325</v>
      </c>
      <c r="B56" s="219">
        <v>42094</v>
      </c>
      <c r="C56" s="219">
        <v>42460</v>
      </c>
      <c r="D56" s="219">
        <v>42825</v>
      </c>
      <c r="E56" s="219">
        <v>43190</v>
      </c>
      <c r="F56" s="219">
        <v>43555</v>
      </c>
      <c r="G56" s="219">
        <v>43921</v>
      </c>
      <c r="H56" s="219">
        <v>44286</v>
      </c>
      <c r="I56" s="219">
        <v>44651</v>
      </c>
      <c r="J56" s="219">
        <v>45016</v>
      </c>
      <c r="K56" s="219">
        <v>45382</v>
      </c>
    </row>
    <row r="57" spans="1:11" x14ac:dyDescent="0.3">
      <c r="A57" s="218" t="s">
        <v>344</v>
      </c>
      <c r="B57" s="216">
        <v>971.41</v>
      </c>
      <c r="C57" s="216">
        <v>970.24</v>
      </c>
      <c r="D57" s="216">
        <v>970.24</v>
      </c>
      <c r="E57" s="216">
        <v>1144.95</v>
      </c>
      <c r="F57" s="216">
        <v>1144.94</v>
      </c>
      <c r="G57" s="216">
        <v>1144.95</v>
      </c>
      <c r="H57" s="216">
        <v>1197.6099999999999</v>
      </c>
      <c r="I57" s="216">
        <v>1221.21</v>
      </c>
      <c r="J57" s="216">
        <v>1221.24</v>
      </c>
      <c r="K57" s="216">
        <v>1247.44</v>
      </c>
    </row>
    <row r="58" spans="1:11" x14ac:dyDescent="0.3">
      <c r="A58" s="218" t="s">
        <v>345</v>
      </c>
      <c r="B58" s="216">
        <v>30378</v>
      </c>
      <c r="C58" s="216">
        <v>42762.31</v>
      </c>
      <c r="D58" s="216">
        <v>36849.08</v>
      </c>
      <c r="E58" s="216">
        <v>59725.67</v>
      </c>
      <c r="F58" s="216">
        <v>67780.14</v>
      </c>
      <c r="G58" s="216">
        <v>72431.350000000006</v>
      </c>
      <c r="H58" s="216">
        <v>73041.16</v>
      </c>
      <c r="I58" s="216">
        <v>113221.83</v>
      </c>
      <c r="J58" s="216">
        <v>101860.86</v>
      </c>
      <c r="K58" s="216">
        <v>90788.32</v>
      </c>
    </row>
    <row r="59" spans="1:11" x14ac:dyDescent="0.3">
      <c r="A59" s="218" t="s">
        <v>346</v>
      </c>
      <c r="B59" s="216">
        <v>80701.289999999994</v>
      </c>
      <c r="C59" s="216">
        <v>81986.929999999993</v>
      </c>
      <c r="D59" s="216">
        <v>83014.490000000005</v>
      </c>
      <c r="E59" s="216">
        <v>92147.05</v>
      </c>
      <c r="F59" s="216">
        <v>100816.22</v>
      </c>
      <c r="G59" s="216">
        <v>116328.2</v>
      </c>
      <c r="H59" s="216">
        <v>88501.41</v>
      </c>
      <c r="I59" s="216">
        <v>75561.350000000006</v>
      </c>
      <c r="J59" s="216">
        <v>84893.05</v>
      </c>
      <c r="K59" s="216">
        <v>87082.12</v>
      </c>
    </row>
    <row r="60" spans="1:11" x14ac:dyDescent="0.3">
      <c r="A60" s="218" t="s">
        <v>347</v>
      </c>
      <c r="B60" s="216">
        <v>47058.6</v>
      </c>
      <c r="C60" s="216">
        <v>51164.51</v>
      </c>
      <c r="D60" s="216">
        <v>51613.56</v>
      </c>
      <c r="E60" s="216">
        <v>55704.47</v>
      </c>
      <c r="F60" s="216">
        <v>63032.14</v>
      </c>
      <c r="G60" s="216">
        <v>59244.62</v>
      </c>
      <c r="H60" s="216">
        <v>81169.009999999995</v>
      </c>
      <c r="I60" s="216">
        <v>92417.279999999999</v>
      </c>
      <c r="J60" s="216">
        <v>97420.63</v>
      </c>
      <c r="K60" s="216">
        <v>90194.54</v>
      </c>
    </row>
    <row r="61" spans="1:11" x14ac:dyDescent="0.3">
      <c r="A61" s="217" t="s">
        <v>348</v>
      </c>
      <c r="B61" s="216">
        <v>159109.29999999999</v>
      </c>
      <c r="C61" s="216">
        <v>176883.99</v>
      </c>
      <c r="D61" s="216">
        <v>172447.37</v>
      </c>
      <c r="E61" s="216">
        <v>208722.14</v>
      </c>
      <c r="F61" s="216">
        <v>232773.44</v>
      </c>
      <c r="G61" s="216">
        <v>249149.12</v>
      </c>
      <c r="H61" s="216">
        <v>243909.19</v>
      </c>
      <c r="I61" s="216">
        <v>282421.67</v>
      </c>
      <c r="J61" s="216">
        <v>285395.78000000003</v>
      </c>
      <c r="K61" s="216">
        <v>269312.42</v>
      </c>
    </row>
    <row r="62" spans="1:11" x14ac:dyDescent="0.3">
      <c r="A62" s="218" t="s">
        <v>349</v>
      </c>
      <c r="B62" s="216">
        <v>68100.33</v>
      </c>
      <c r="C62" s="216">
        <v>72199.759999999995</v>
      </c>
      <c r="D62" s="216">
        <v>92006.55</v>
      </c>
      <c r="E62" s="216">
        <v>96104.89</v>
      </c>
      <c r="F62" s="216">
        <v>124441.91</v>
      </c>
      <c r="G62" s="216">
        <v>134550.66</v>
      </c>
      <c r="H62" s="216">
        <v>135775.18</v>
      </c>
      <c r="I62" s="216">
        <v>133287.82999999999</v>
      </c>
      <c r="J62" s="216">
        <v>146621.46</v>
      </c>
      <c r="K62" s="216">
        <v>148814.38</v>
      </c>
    </row>
    <row r="63" spans="1:11" x14ac:dyDescent="0.3">
      <c r="A63" s="218" t="s">
        <v>350</v>
      </c>
      <c r="B63" s="216">
        <v>28678.12</v>
      </c>
      <c r="C63" s="216">
        <v>35996.089999999997</v>
      </c>
      <c r="D63" s="216">
        <v>15784.13</v>
      </c>
      <c r="E63" s="216">
        <v>16614.41</v>
      </c>
      <c r="F63" s="216">
        <v>18641.21</v>
      </c>
      <c r="G63" s="216">
        <v>19496.830000000002</v>
      </c>
      <c r="H63" s="216">
        <v>19007.400000000001</v>
      </c>
      <c r="I63" s="216">
        <v>22045.55</v>
      </c>
      <c r="J63" s="216">
        <v>31213.02</v>
      </c>
      <c r="K63" s="216">
        <v>34355.53</v>
      </c>
    </row>
    <row r="64" spans="1:11" x14ac:dyDescent="0.3">
      <c r="A64" s="218" t="s">
        <v>351</v>
      </c>
      <c r="B64" s="216">
        <v>3455.05</v>
      </c>
      <c r="C64" s="216">
        <v>10713.71</v>
      </c>
      <c r="D64" s="216">
        <v>12457.12</v>
      </c>
      <c r="E64" s="216">
        <v>17899.47</v>
      </c>
      <c r="F64" s="216">
        <v>5738.17</v>
      </c>
      <c r="G64" s="216">
        <v>6285.18</v>
      </c>
      <c r="H64" s="216">
        <v>10681.93</v>
      </c>
      <c r="I64" s="216">
        <v>13139.85</v>
      </c>
      <c r="J64" s="216">
        <v>8410.31</v>
      </c>
      <c r="K64" s="216">
        <v>6257.57</v>
      </c>
    </row>
    <row r="65" spans="1:11" x14ac:dyDescent="0.3">
      <c r="A65" s="218" t="s">
        <v>352</v>
      </c>
      <c r="B65" s="216">
        <v>58875.8</v>
      </c>
      <c r="C65" s="216">
        <v>57974.43</v>
      </c>
      <c r="D65" s="216">
        <v>52199.57</v>
      </c>
      <c r="E65" s="216">
        <v>78103.37</v>
      </c>
      <c r="F65" s="216">
        <v>83952.15</v>
      </c>
      <c r="G65" s="216">
        <v>88816.45</v>
      </c>
      <c r="H65" s="216">
        <v>78444.679999999993</v>
      </c>
      <c r="I65" s="216">
        <v>113948.44</v>
      </c>
      <c r="J65" s="216">
        <v>99150.99</v>
      </c>
      <c r="K65" s="216">
        <v>79884.94</v>
      </c>
    </row>
    <row r="66" spans="1:11" x14ac:dyDescent="0.3">
      <c r="A66" s="217" t="s">
        <v>348</v>
      </c>
      <c r="B66" s="216">
        <v>159109.29999999999</v>
      </c>
      <c r="C66" s="216">
        <v>176883.99</v>
      </c>
      <c r="D66" s="216">
        <v>172447.37</v>
      </c>
      <c r="E66" s="216">
        <v>208722.14</v>
      </c>
      <c r="F66" s="216">
        <v>232773.44</v>
      </c>
      <c r="G66" s="216">
        <v>249149.12</v>
      </c>
      <c r="H66" s="216">
        <v>243909.19</v>
      </c>
      <c r="I66" s="216">
        <v>282421.67</v>
      </c>
      <c r="J66" s="216">
        <v>285395.78000000003</v>
      </c>
      <c r="K66" s="216">
        <v>269312.42</v>
      </c>
    </row>
    <row r="67" spans="1:11" x14ac:dyDescent="0.3">
      <c r="A67" s="218" t="s">
        <v>353</v>
      </c>
      <c r="B67" s="216">
        <v>13309.87</v>
      </c>
      <c r="C67" s="216">
        <v>12066.22</v>
      </c>
      <c r="D67" s="216">
        <v>11586.82</v>
      </c>
      <c r="E67" s="216">
        <v>12415.52</v>
      </c>
      <c r="F67" s="216">
        <v>11811</v>
      </c>
      <c r="G67" s="216">
        <v>7884.91</v>
      </c>
      <c r="H67" s="216">
        <v>9539.84</v>
      </c>
      <c r="I67" s="216">
        <v>12246.43</v>
      </c>
      <c r="J67" s="216">
        <v>8257.24</v>
      </c>
      <c r="K67" s="216">
        <v>6263.53</v>
      </c>
    </row>
    <row r="68" spans="1:11" x14ac:dyDescent="0.3">
      <c r="A68" s="218" t="s">
        <v>142</v>
      </c>
      <c r="B68" s="216">
        <v>25149.91</v>
      </c>
      <c r="C68" s="216">
        <v>20013.330000000002</v>
      </c>
      <c r="D68" s="216">
        <v>24803.82</v>
      </c>
      <c r="E68" s="216">
        <v>28331.040000000001</v>
      </c>
      <c r="F68" s="216">
        <v>31656.1</v>
      </c>
      <c r="G68" s="216">
        <v>31068.720000000001</v>
      </c>
      <c r="H68" s="216">
        <v>33276.379999999997</v>
      </c>
      <c r="I68" s="216">
        <v>48824.39</v>
      </c>
      <c r="J68" s="216">
        <v>54415.33</v>
      </c>
      <c r="K68" s="216">
        <v>49157.51</v>
      </c>
    </row>
    <row r="69" spans="1:11" x14ac:dyDescent="0.3">
      <c r="A69" s="218" t="s">
        <v>354</v>
      </c>
      <c r="B69" s="216">
        <v>8749.94</v>
      </c>
      <c r="C69" s="216">
        <v>6186.34</v>
      </c>
      <c r="D69" s="216">
        <v>4921.05</v>
      </c>
      <c r="E69" s="216">
        <v>7937.85</v>
      </c>
      <c r="F69" s="216">
        <v>3341.37</v>
      </c>
      <c r="G69" s="216">
        <v>8054.72</v>
      </c>
      <c r="H69" s="216">
        <v>5782.18</v>
      </c>
      <c r="I69" s="216">
        <v>15898.93</v>
      </c>
      <c r="J69" s="216">
        <v>13357.26</v>
      </c>
      <c r="K69" s="216">
        <v>8677.7199999999993</v>
      </c>
    </row>
    <row r="70" spans="1:11" x14ac:dyDescent="0.3">
      <c r="A70" s="218" t="s">
        <v>355</v>
      </c>
      <c r="B70" s="216">
        <v>971604916</v>
      </c>
      <c r="C70" s="216">
        <v>970436562</v>
      </c>
      <c r="D70" s="216">
        <v>970436562</v>
      </c>
      <c r="E70" s="216">
        <v>1203340563</v>
      </c>
      <c r="F70" s="216">
        <v>1203331928</v>
      </c>
      <c r="G70" s="216">
        <v>1203332459</v>
      </c>
      <c r="H70" s="216">
        <v>1203334622</v>
      </c>
      <c r="I70" s="216">
        <v>1221566453</v>
      </c>
      <c r="J70" s="216">
        <v>12212353070</v>
      </c>
      <c r="K70" s="216">
        <v>12474347611</v>
      </c>
    </row>
    <row r="71" spans="1:11" x14ac:dyDescent="0.3">
      <c r="A71" s="218" t="s">
        <v>356</v>
      </c>
      <c r="B71" s="216"/>
      <c r="C71" s="216"/>
      <c r="D71" s="216"/>
      <c r="E71" s="216"/>
      <c r="F71" s="216"/>
      <c r="G71" s="216"/>
      <c r="H71" s="216"/>
      <c r="I71" s="216"/>
      <c r="J71" s="216"/>
      <c r="K71" s="216"/>
    </row>
    <row r="72" spans="1:11" x14ac:dyDescent="0.3">
      <c r="A72" s="218" t="s">
        <v>357</v>
      </c>
      <c r="B72" s="216">
        <v>10</v>
      </c>
      <c r="C72" s="216">
        <v>10</v>
      </c>
      <c r="D72" s="216">
        <v>10</v>
      </c>
      <c r="E72" s="216">
        <v>10</v>
      </c>
      <c r="F72" s="216">
        <v>10</v>
      </c>
      <c r="G72" s="216">
        <v>10</v>
      </c>
      <c r="H72" s="216">
        <v>10</v>
      </c>
      <c r="I72" s="216">
        <v>10</v>
      </c>
      <c r="J72" s="216">
        <v>1</v>
      </c>
      <c r="K72" s="216">
        <v>1</v>
      </c>
    </row>
    <row r="74" spans="1:11" x14ac:dyDescent="0.3">
      <c r="A74" s="218"/>
      <c r="B74" s="216"/>
      <c r="C74" s="216"/>
      <c r="D74" s="216"/>
      <c r="E74" s="216"/>
      <c r="F74" s="216"/>
      <c r="G74" s="216"/>
      <c r="H74" s="216"/>
      <c r="I74" s="216"/>
      <c r="J74" s="216"/>
      <c r="K74" s="216"/>
    </row>
    <row r="75" spans="1:11" x14ac:dyDescent="0.3">
      <c r="A75" s="218"/>
      <c r="B75" s="216"/>
      <c r="C75" s="216"/>
      <c r="D75" s="216"/>
      <c r="E75" s="216"/>
      <c r="F75" s="216"/>
      <c r="G75" s="216"/>
      <c r="H75" s="216"/>
      <c r="I75" s="216"/>
      <c r="J75" s="216"/>
      <c r="K75" s="216"/>
    </row>
    <row r="76" spans="1:11" x14ac:dyDescent="0.3">
      <c r="A76" s="218"/>
      <c r="B76" s="216"/>
      <c r="C76" s="216"/>
      <c r="D76" s="216"/>
      <c r="E76" s="216"/>
      <c r="F76" s="216"/>
      <c r="G76" s="216"/>
      <c r="H76" s="216"/>
      <c r="I76" s="216"/>
      <c r="J76" s="216"/>
      <c r="K76" s="216"/>
    </row>
    <row r="77" spans="1:11" x14ac:dyDescent="0.3">
      <c r="A77" s="218"/>
      <c r="B77" s="216"/>
      <c r="C77" s="216"/>
      <c r="D77" s="216"/>
      <c r="E77" s="216"/>
      <c r="F77" s="216"/>
      <c r="G77" s="216"/>
      <c r="H77" s="216"/>
      <c r="I77" s="216"/>
      <c r="J77" s="216"/>
      <c r="K77" s="216"/>
    </row>
    <row r="78" spans="1:11" x14ac:dyDescent="0.3">
      <c r="A78" s="218"/>
      <c r="B78" s="216"/>
      <c r="C78" s="216"/>
      <c r="D78" s="216"/>
      <c r="E78" s="216"/>
      <c r="F78" s="216"/>
      <c r="G78" s="216"/>
      <c r="H78" s="216"/>
      <c r="I78" s="216"/>
      <c r="J78" s="216"/>
      <c r="K78" s="216"/>
    </row>
    <row r="79" spans="1:11" x14ac:dyDescent="0.3">
      <c r="A79" s="218"/>
      <c r="B79" s="216"/>
      <c r="C79" s="216"/>
      <c r="D79" s="216"/>
      <c r="E79" s="216"/>
      <c r="F79" s="216"/>
      <c r="G79" s="216"/>
      <c r="H79" s="216"/>
      <c r="I79" s="216"/>
      <c r="J79" s="216"/>
      <c r="K79" s="216"/>
    </row>
    <row r="80" spans="1:11" x14ac:dyDescent="0.3">
      <c r="A80" s="217" t="s">
        <v>358</v>
      </c>
      <c r="B80" s="216"/>
      <c r="C80" s="216"/>
      <c r="D80" s="216"/>
      <c r="E80" s="216"/>
      <c r="F80" s="216"/>
      <c r="G80" s="216"/>
      <c r="H80" s="216"/>
      <c r="I80" s="216"/>
      <c r="J80" s="216"/>
      <c r="K80" s="216"/>
    </row>
    <row r="81" spans="1:11" x14ac:dyDescent="0.3">
      <c r="A81" s="220" t="s">
        <v>325</v>
      </c>
      <c r="B81" s="219">
        <v>42094</v>
      </c>
      <c r="C81" s="219">
        <v>42460</v>
      </c>
      <c r="D81" s="219">
        <v>42825</v>
      </c>
      <c r="E81" s="219">
        <v>43190</v>
      </c>
      <c r="F81" s="219">
        <v>43555</v>
      </c>
      <c r="G81" s="219">
        <v>43921</v>
      </c>
      <c r="H81" s="219">
        <v>44286</v>
      </c>
      <c r="I81" s="219">
        <v>44651</v>
      </c>
      <c r="J81" s="219">
        <v>45016</v>
      </c>
      <c r="K81" s="219">
        <v>45382</v>
      </c>
    </row>
    <row r="82" spans="1:11" x14ac:dyDescent="0.3">
      <c r="A82" s="218" t="s">
        <v>359</v>
      </c>
      <c r="B82" s="216">
        <v>11879.77</v>
      </c>
      <c r="C82" s="216">
        <v>11455.35</v>
      </c>
      <c r="D82" s="216">
        <v>10824.36</v>
      </c>
      <c r="E82" s="216">
        <v>8023.39</v>
      </c>
      <c r="F82" s="216">
        <v>25335.95</v>
      </c>
      <c r="G82" s="216">
        <v>20168.72</v>
      </c>
      <c r="H82" s="216">
        <v>44326.68</v>
      </c>
      <c r="I82" s="216">
        <v>44380.99</v>
      </c>
      <c r="J82" s="216">
        <v>21683.08</v>
      </c>
      <c r="K82" s="216">
        <v>20300.669999999998</v>
      </c>
    </row>
    <row r="83" spans="1:11" x14ac:dyDescent="0.3">
      <c r="A83" s="218" t="s">
        <v>360</v>
      </c>
      <c r="B83" s="216">
        <v>-9021.1299999999992</v>
      </c>
      <c r="C83" s="216">
        <v>-8794.31</v>
      </c>
      <c r="D83" s="216">
        <v>-9489.65</v>
      </c>
      <c r="E83" s="216">
        <v>-11730.31</v>
      </c>
      <c r="F83" s="216">
        <v>-29176.45</v>
      </c>
      <c r="G83" s="216">
        <v>-14012.06</v>
      </c>
      <c r="H83" s="216">
        <v>-9437.27</v>
      </c>
      <c r="I83" s="216">
        <v>-10905.02</v>
      </c>
      <c r="J83" s="216">
        <v>-18179.45</v>
      </c>
      <c r="K83" s="216">
        <v>-14252.74</v>
      </c>
    </row>
    <row r="84" spans="1:11" x14ac:dyDescent="0.3">
      <c r="A84" s="218" t="s">
        <v>361</v>
      </c>
      <c r="B84" s="216">
        <v>-2617.19</v>
      </c>
      <c r="C84" s="216">
        <v>-4729.12</v>
      </c>
      <c r="D84" s="216">
        <v>-2579.36</v>
      </c>
      <c r="E84" s="216">
        <v>6639.94</v>
      </c>
      <c r="F84" s="216">
        <v>-672.7</v>
      </c>
      <c r="G84" s="216">
        <v>-1694.62</v>
      </c>
      <c r="H84" s="216">
        <v>-37089.67</v>
      </c>
      <c r="I84" s="216">
        <v>-23401.09</v>
      </c>
      <c r="J84" s="216">
        <v>-6980.69</v>
      </c>
      <c r="K84" s="216">
        <v>-11096.99</v>
      </c>
    </row>
    <row r="85" spans="1:11" x14ac:dyDescent="0.3">
      <c r="A85" s="218" t="s">
        <v>362</v>
      </c>
      <c r="B85" s="216">
        <v>241.45</v>
      </c>
      <c r="C85" s="216">
        <v>-2068.08</v>
      </c>
      <c r="D85" s="216">
        <v>-1244.6500000000001</v>
      </c>
      <c r="E85" s="216">
        <v>2933.02</v>
      </c>
      <c r="F85" s="216">
        <v>-4513.2</v>
      </c>
      <c r="G85" s="216">
        <v>4462.04</v>
      </c>
      <c r="H85" s="216">
        <v>-2200.2600000000002</v>
      </c>
      <c r="I85" s="216">
        <v>10074.879999999999</v>
      </c>
      <c r="J85" s="216">
        <v>-3477.06</v>
      </c>
      <c r="K85" s="216">
        <v>-5049.0600000000004</v>
      </c>
    </row>
    <row r="86" spans="1:11" x14ac:dyDescent="0.3">
      <c r="A86" s="218"/>
      <c r="B86" s="216"/>
      <c r="C86" s="216"/>
      <c r="D86" s="216"/>
      <c r="E86" s="216"/>
      <c r="F86" s="216"/>
      <c r="G86" s="216"/>
      <c r="H86" s="216"/>
      <c r="I86" s="216"/>
      <c r="J86" s="216"/>
      <c r="K86" s="216"/>
    </row>
    <row r="87" spans="1:11" x14ac:dyDescent="0.3">
      <c r="A87" s="218"/>
      <c r="B87" s="216"/>
      <c r="C87" s="216"/>
      <c r="D87" s="216"/>
      <c r="E87" s="216"/>
      <c r="F87" s="216"/>
      <c r="G87" s="216"/>
      <c r="H87" s="216"/>
      <c r="I87" s="216"/>
      <c r="J87" s="216"/>
      <c r="K87" s="216"/>
    </row>
    <row r="88" spans="1:11" x14ac:dyDescent="0.3">
      <c r="A88" s="218"/>
      <c r="B88" s="216"/>
      <c r="C88" s="216"/>
      <c r="D88" s="216"/>
      <c r="E88" s="216"/>
      <c r="F88" s="216"/>
      <c r="G88" s="216"/>
      <c r="H88" s="216"/>
      <c r="I88" s="216"/>
      <c r="J88" s="216"/>
      <c r="K88" s="216"/>
    </row>
    <row r="89" spans="1:11" x14ac:dyDescent="0.3">
      <c r="A89" s="218"/>
      <c r="B89" s="216"/>
      <c r="C89" s="216"/>
      <c r="D89" s="216"/>
      <c r="E89" s="216"/>
      <c r="F89" s="216"/>
      <c r="G89" s="216"/>
      <c r="H89" s="216"/>
      <c r="I89" s="216"/>
      <c r="J89" s="216"/>
      <c r="K89" s="216"/>
    </row>
    <row r="90" spans="1:11" x14ac:dyDescent="0.3">
      <c r="A90" s="217" t="s">
        <v>363</v>
      </c>
      <c r="B90" s="216">
        <v>30.18</v>
      </c>
      <c r="C90" s="216">
        <v>30.46</v>
      </c>
      <c r="D90" s="216">
        <v>45.99</v>
      </c>
      <c r="E90" s="216">
        <v>57.11</v>
      </c>
      <c r="F90" s="216">
        <v>52.1</v>
      </c>
      <c r="G90" s="216">
        <v>26.96</v>
      </c>
      <c r="H90" s="216">
        <v>81.19</v>
      </c>
      <c r="I90" s="216">
        <v>130.72</v>
      </c>
      <c r="J90" s="216">
        <v>104.5</v>
      </c>
      <c r="K90" s="216">
        <v>155.85</v>
      </c>
    </row>
    <row r="92" spans="1:11" x14ac:dyDescent="0.3">
      <c r="A92" s="217" t="s">
        <v>364</v>
      </c>
      <c r="B92" s="217"/>
      <c r="C92" s="217"/>
      <c r="D92" s="217"/>
      <c r="E92" s="217"/>
      <c r="F92" s="217"/>
      <c r="G92" s="217"/>
      <c r="H92" s="217"/>
      <c r="I92" s="217"/>
      <c r="J92" s="217"/>
      <c r="K92" s="217"/>
    </row>
    <row r="93" spans="1:11" x14ac:dyDescent="0.3">
      <c r="A93" s="218" t="s">
        <v>365</v>
      </c>
      <c r="B93" s="218">
        <v>1126.6199999999999</v>
      </c>
      <c r="C93" s="218">
        <v>1126.6199999999999</v>
      </c>
      <c r="D93" s="218">
        <v>1126.6199999999999</v>
      </c>
      <c r="E93" s="218">
        <v>1126.48</v>
      </c>
      <c r="F93" s="218">
        <v>1126.49</v>
      </c>
      <c r="G93" s="218">
        <v>1126.49</v>
      </c>
      <c r="H93" s="218">
        <v>1196.5899999999999</v>
      </c>
      <c r="I93" s="218">
        <v>1221.3</v>
      </c>
      <c r="J93" s="218">
        <v>1222.1500000000001</v>
      </c>
      <c r="K93" s="218">
        <v>1248.3499999999999</v>
      </c>
    </row>
  </sheetData>
  <mergeCells count="2">
    <mergeCell ref="E1:K1"/>
    <mergeCell ref="E2:K2"/>
  </mergeCells>
  <hyperlinks>
    <hyperlink ref="E1:K1" r:id="rId1" display="https://www.screener.in/excel/"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Income Statement </vt:lpstr>
      <vt:lpstr>WACC</vt:lpstr>
      <vt:lpstr>Working Capital</vt:lpstr>
      <vt:lpstr>Fixed Assets</vt:lpstr>
      <vt:lpstr>Debt Schdule</vt:lpstr>
      <vt:lpstr>DCF</vt:lpstr>
      <vt:lpstr>Comp_Val</vt:lpstr>
      <vt:lpstr>DuPont Analysis </vt:lpstr>
      <vt:lpstr>Raw Data </vt:lpstr>
      <vt:lpstr>Peer data </vt:lpstr>
      <vt:lpstr>dp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sharma</dc:creator>
  <cp:lastModifiedBy>Lalit sharma</cp:lastModifiedBy>
  <dcterms:created xsi:type="dcterms:W3CDTF">2024-12-14T10:06:19Z</dcterms:created>
  <dcterms:modified xsi:type="dcterms:W3CDTF">2025-01-23T12:43:45Z</dcterms:modified>
</cp:coreProperties>
</file>