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is AI" sheetId="1" r:id="rId4"/>
    <sheet state="visible" name="Gráficos AI" sheetId="2" r:id="rId5"/>
    <sheet state="visible" name="Dimensões e Massa AI" sheetId="3" r:id="rId6"/>
    <sheet state="hidden" name="Massa Tabeladas" sheetId="4" r:id="rId7"/>
    <sheet state="visible" name="Dimensões e Massa da Balsa" sheetId="5" r:id="rId8"/>
    <sheet state="visible" name="Página4" sheetId="6" r:id="rId9"/>
    <sheet state="hidden" name="__Solver__" sheetId="7" r:id="rId10"/>
  </sheets>
  <definedNames/>
  <calcPr/>
</workbook>
</file>

<file path=xl/sharedStrings.xml><?xml version="1.0" encoding="utf-8"?>
<sst xmlns="http://schemas.openxmlformats.org/spreadsheetml/2006/main" count="259" uniqueCount="149">
  <si>
    <t>Input</t>
  </si>
  <si>
    <t>b/2 [m]</t>
  </si>
  <si>
    <t>EQUAÇÃO OBTIDA POR CARGAS</t>
  </si>
  <si>
    <t>y = -885,39x6 + 2987,7x5 - 3790,7x4 + 2194,2x3 - 575,74x2 + 49,486x + 65,706
R² = 0,9985</t>
  </si>
  <si>
    <t>Grau</t>
  </si>
  <si>
    <t>Valor</t>
  </si>
  <si>
    <t>ESFORÇO CORTANTE</t>
  </si>
  <si>
    <t>Condição de Contorno</t>
  </si>
  <si>
    <t>V(x)</t>
  </si>
  <si>
    <t xml:space="preserve"> X= b/2</t>
  </si>
  <si>
    <t>Máx</t>
  </si>
  <si>
    <t>X= 0</t>
  </si>
  <si>
    <t>C1</t>
  </si>
  <si>
    <t>Esforço Cortante Máx (N)</t>
  </si>
  <si>
    <t>MOMENTO FLETOR</t>
  </si>
  <si>
    <t>M(x)</t>
  </si>
  <si>
    <t xml:space="preserve"> X= 0</t>
  </si>
  <si>
    <t>C2</t>
  </si>
  <si>
    <t>Momento Fletor Máx (N.m)</t>
  </si>
  <si>
    <t>Angulação ( EQUAÇÃO DA FLEXA)</t>
  </si>
  <si>
    <t>dM/dx</t>
  </si>
  <si>
    <t>MÁX</t>
  </si>
  <si>
    <t>X= b/2</t>
  </si>
  <si>
    <t>C3</t>
  </si>
  <si>
    <t>Angulação Máxima</t>
  </si>
  <si>
    <t>DEFLEXÃO MÁXIMA</t>
  </si>
  <si>
    <t>C4</t>
  </si>
  <si>
    <t>Deflexão Máxima</t>
  </si>
  <si>
    <t>Esforço Cortante</t>
  </si>
  <si>
    <t>Inclinação</t>
  </si>
  <si>
    <t>x</t>
  </si>
  <si>
    <r>
      <rPr>
        <rFont val="Calibri"/>
        <color theme="1"/>
        <sz val="11.0"/>
      </rPr>
      <t>α</t>
    </r>
    <r>
      <rPr>
        <rFont val="Calibri"/>
        <color theme="1"/>
        <sz val="11.0"/>
      </rPr>
      <t>(x)</t>
    </r>
  </si>
  <si>
    <t>Momento Fletor</t>
  </si>
  <si>
    <t>Deflexão</t>
  </si>
  <si>
    <t>Y(x)</t>
  </si>
  <si>
    <t>Seção Circular Alumínio</t>
  </si>
  <si>
    <t>Seção Retangular</t>
  </si>
  <si>
    <t>Seção Circular Carbono</t>
  </si>
  <si>
    <t>Inputs</t>
  </si>
  <si>
    <t>Massa da longarina</t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</si>
  <si>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esc (MPa)</t>
    </r>
  </si>
  <si>
    <t>A(mm²)</t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</si>
  <si>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esc (MPa)</t>
    </r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</si>
  <si>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esc (MPa)</t>
    </r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</si>
  <si>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esc (MPa)</t>
    </r>
  </si>
  <si>
    <t>F.S</t>
  </si>
  <si>
    <t>V(mm³)</t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</si>
  <si>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adm (MPa)</t>
    </r>
  </si>
  <si>
    <t>m (g)</t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</si>
  <si>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adm (MPa)</t>
    </r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</si>
  <si>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adm (MPa)</t>
    </r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</si>
  <si>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adm (MPa)</t>
    </r>
  </si>
  <si>
    <t>b (mm)</t>
  </si>
  <si>
    <t>Iy</t>
  </si>
  <si>
    <t>p (g/mm³)</t>
  </si>
  <si>
    <t>Diâmetros</t>
  </si>
  <si>
    <t>Mmáx (N.mm)</t>
  </si>
  <si>
    <t>Dext (mm)</t>
  </si>
  <si>
    <t>base (mm)</t>
  </si>
  <si>
    <t>Vmáx(N)</t>
  </si>
  <si>
    <t>Dint (mm)</t>
  </si>
  <si>
    <t>esp (mm)</t>
  </si>
  <si>
    <t>altura (mm)</t>
  </si>
  <si>
    <t>Rext (mm)</t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</si>
  <si>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f(MPa)</t>
    </r>
  </si>
  <si>
    <t>base int (mm)</t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</si>
  <si>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f(MPa)</t>
    </r>
  </si>
  <si>
    <t>Laminado</t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</si>
  <si>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f(MPa)</t>
    </r>
  </si>
  <si>
    <t>Rint (mm)</t>
  </si>
  <si>
    <t>altura int (mm)</t>
  </si>
  <si>
    <r>
      <rPr>
        <rFont val="Calibri"/>
        <color theme="1"/>
        <sz val="16.0"/>
      </rPr>
      <t>σ</t>
    </r>
    <r>
      <rPr>
        <rFont val="Calibri"/>
        <color theme="1"/>
        <sz val="11.0"/>
      </rPr>
      <t>f(MPa)</t>
    </r>
  </si>
  <si>
    <r>
      <rPr>
        <rFont val="Calibri"/>
        <color theme="1"/>
        <sz val="16.0"/>
      </rPr>
      <t>τ</t>
    </r>
    <r>
      <rPr>
        <rFont val="Calibri"/>
        <color theme="1"/>
        <sz val="11.0"/>
      </rPr>
      <t>cis</t>
    </r>
    <r>
      <rPr>
        <rFont val="Calibri"/>
        <color theme="1"/>
        <sz val="11.0"/>
      </rPr>
      <t>(Mpa)</t>
    </r>
  </si>
  <si>
    <r>
      <rPr>
        <rFont val="Calibri"/>
        <color theme="1"/>
        <sz val="16.0"/>
      </rPr>
      <t>τ</t>
    </r>
    <r>
      <rPr>
        <rFont val="Calibri"/>
        <color theme="1"/>
        <sz val="11.0"/>
      </rPr>
      <t>cis</t>
    </r>
    <r>
      <rPr>
        <rFont val="Calibri"/>
        <color theme="1"/>
        <sz val="11.0"/>
      </rPr>
      <t>(Mpa)</t>
    </r>
  </si>
  <si>
    <r>
      <rPr>
        <rFont val="Calibri"/>
        <color theme="1"/>
        <sz val="16.0"/>
      </rPr>
      <t>τ</t>
    </r>
    <r>
      <rPr>
        <rFont val="Calibri"/>
        <color theme="1"/>
        <sz val="11.0"/>
      </rPr>
      <t>cis</t>
    </r>
    <r>
      <rPr>
        <rFont val="Calibri"/>
        <color theme="1"/>
        <sz val="11.0"/>
      </rPr>
      <t>(Mpa)</t>
    </r>
  </si>
  <si>
    <r>
      <rPr>
        <rFont val="Calibri"/>
        <color theme="1"/>
        <sz val="16.0"/>
      </rPr>
      <t>τ</t>
    </r>
    <r>
      <rPr>
        <rFont val="Calibri"/>
        <color theme="1"/>
        <sz val="11.0"/>
      </rPr>
      <t>cis</t>
    </r>
    <r>
      <rPr>
        <rFont val="Calibri"/>
        <color theme="1"/>
        <sz val="11.0"/>
      </rPr>
      <t>(Mpa)</t>
    </r>
  </si>
  <si>
    <t>m(g)</t>
  </si>
  <si>
    <r>
      <rPr>
        <rFont val="Calibri"/>
        <color theme="1"/>
        <sz val="16.0"/>
      </rPr>
      <t>τ</t>
    </r>
    <r>
      <rPr>
        <rFont val="Calibri"/>
        <color theme="1"/>
        <sz val="11.0"/>
      </rPr>
      <t>esc(Mpa)</t>
    </r>
  </si>
  <si>
    <r>
      <rPr>
        <rFont val="Calibri"/>
        <color theme="1"/>
        <sz val="16.0"/>
      </rPr>
      <t>τ</t>
    </r>
    <r>
      <rPr>
        <rFont val="Calibri"/>
        <color theme="1"/>
        <sz val="11.0"/>
      </rPr>
      <t>esc(Mpa)</t>
    </r>
  </si>
  <si>
    <r>
      <rPr>
        <rFont val="Calibri"/>
        <color theme="1"/>
        <sz val="16.0"/>
      </rPr>
      <t>τ</t>
    </r>
    <r>
      <rPr>
        <rFont val="Calibri"/>
        <color theme="1"/>
        <sz val="11.0"/>
      </rPr>
      <t>adm(Mpa)</t>
    </r>
  </si>
  <si>
    <r>
      <rPr>
        <rFont val="Calibri"/>
        <color theme="1"/>
        <sz val="16.0"/>
      </rPr>
      <t>τ</t>
    </r>
    <r>
      <rPr>
        <rFont val="Calibri"/>
        <color theme="1"/>
        <sz val="11.0"/>
      </rPr>
      <t>adm(Mpa)</t>
    </r>
  </si>
  <si>
    <r>
      <rPr>
        <rFont val="Calibri"/>
        <color theme="1"/>
        <sz val="11.0"/>
      </rPr>
      <t xml:space="preserve">Teste(Falha por Flexão)                                                                      </t>
    </r>
    <r>
      <rPr>
        <rFont val="Calibri"/>
        <color theme="1"/>
        <sz val="16.0"/>
      </rPr>
      <t>σ</t>
    </r>
    <r>
      <rPr>
        <rFont val="Calibri"/>
        <color theme="1"/>
        <sz val="11.0"/>
      </rPr>
      <t xml:space="preserve">f &lt; </t>
    </r>
    <r>
      <rPr>
        <rFont val="Calibri"/>
        <color theme="1"/>
        <sz val="16.0"/>
      </rPr>
      <t>σ</t>
    </r>
    <r>
      <rPr>
        <rFont val="Calibri"/>
        <color theme="1"/>
        <sz val="11.0"/>
      </rPr>
      <t>adm</t>
    </r>
  </si>
  <si>
    <r>
      <rPr>
        <rFont val="Calibri"/>
        <color theme="1"/>
        <sz val="11.0"/>
      </rPr>
      <t xml:space="preserve">Teste(Falha por Flexão)                                                     </t>
    </r>
    <r>
      <rPr>
        <rFont val="Calibri"/>
        <color theme="1"/>
        <sz val="16.0"/>
      </rPr>
      <t>σ</t>
    </r>
    <r>
      <rPr>
        <rFont val="Calibri"/>
        <color theme="1"/>
        <sz val="11.0"/>
      </rPr>
      <t xml:space="preserve">f &lt; </t>
    </r>
    <r>
      <rPr>
        <rFont val="Calibri"/>
        <color theme="1"/>
        <sz val="16.0"/>
      </rPr>
      <t>σ</t>
    </r>
    <r>
      <rPr>
        <rFont val="Calibri"/>
        <color theme="1"/>
        <sz val="11.0"/>
      </rPr>
      <t>adm</t>
    </r>
  </si>
  <si>
    <r>
      <rPr>
        <rFont val="Calibri"/>
        <color theme="1"/>
        <sz val="11.0"/>
      </rPr>
      <t xml:space="preserve">Teste(Falha por Flexão)                                                        </t>
    </r>
    <r>
      <rPr>
        <rFont val="Calibri"/>
        <color theme="1"/>
        <sz val="16.0"/>
      </rPr>
      <t>σ</t>
    </r>
    <r>
      <rPr>
        <rFont val="Calibri"/>
        <color theme="1"/>
        <sz val="11.0"/>
      </rPr>
      <t xml:space="preserve">f &lt; </t>
    </r>
    <r>
      <rPr>
        <rFont val="Calibri"/>
        <color theme="1"/>
        <sz val="16.0"/>
      </rPr>
      <t>σ</t>
    </r>
    <r>
      <rPr>
        <rFont val="Calibri"/>
        <color theme="1"/>
        <sz val="11.0"/>
      </rPr>
      <t>adm</t>
    </r>
  </si>
  <si>
    <r>
      <rPr>
        <rFont val="Calibri"/>
        <color theme="1"/>
        <sz val="11.0"/>
      </rPr>
      <t xml:space="preserve">Teste(Falha por Flexão)                                                     </t>
    </r>
    <r>
      <rPr>
        <rFont val="Calibri"/>
        <color theme="1"/>
        <sz val="16.0"/>
      </rPr>
      <t>σ</t>
    </r>
    <r>
      <rPr>
        <rFont val="Calibri"/>
        <color theme="1"/>
        <sz val="11.0"/>
      </rPr>
      <t xml:space="preserve">f &lt; </t>
    </r>
    <r>
      <rPr>
        <rFont val="Calibri"/>
        <color theme="1"/>
        <sz val="16.0"/>
      </rPr>
      <t>σ</t>
    </r>
    <r>
      <rPr>
        <rFont val="Calibri"/>
        <color theme="1"/>
        <sz val="11.0"/>
      </rPr>
      <t>adm</t>
    </r>
  </si>
  <si>
    <r>
      <rPr>
        <rFont val="Calibri"/>
        <color theme="1"/>
        <sz val="11.0"/>
      </rPr>
      <t xml:space="preserve">Teste(Falha por Cisalhamento)                                                        </t>
    </r>
    <r>
      <rPr>
        <rFont val="Calibri"/>
        <color theme="1"/>
        <sz val="16.0"/>
      </rPr>
      <t>τ</t>
    </r>
    <r>
      <rPr>
        <rFont val="Calibri"/>
        <color theme="1"/>
        <sz val="11.0"/>
      </rPr>
      <t xml:space="preserve">cis &lt; </t>
    </r>
    <r>
      <rPr>
        <rFont val="Calibri"/>
        <color theme="1"/>
        <sz val="16.0"/>
      </rPr>
      <t>τ</t>
    </r>
    <r>
      <rPr>
        <rFont val="Calibri"/>
        <color theme="1"/>
        <sz val="11.0"/>
      </rPr>
      <t>adm</t>
    </r>
  </si>
  <si>
    <r>
      <rPr>
        <rFont val="Calibri"/>
        <color theme="1"/>
        <sz val="11.0"/>
      </rPr>
      <t xml:space="preserve">Teste(Falha por Cisalhamento)                                                     </t>
    </r>
    <r>
      <rPr>
        <rFont val="Calibri"/>
        <color theme="1"/>
        <sz val="16.0"/>
      </rPr>
      <t>τ</t>
    </r>
    <r>
      <rPr>
        <rFont val="Calibri"/>
        <color theme="1"/>
        <sz val="11.0"/>
      </rPr>
      <t xml:space="preserve">cis &lt; </t>
    </r>
    <r>
      <rPr>
        <rFont val="Calibri"/>
        <color theme="1"/>
        <sz val="16.0"/>
      </rPr>
      <t>τ</t>
    </r>
    <r>
      <rPr>
        <rFont val="Calibri"/>
        <color theme="1"/>
        <sz val="11.0"/>
      </rPr>
      <t>adm</t>
    </r>
  </si>
  <si>
    <t>Massas tabeladas</t>
  </si>
  <si>
    <t>Alumínio Circular</t>
  </si>
  <si>
    <t>Alumínio Circular Escalonada</t>
  </si>
  <si>
    <t>Carbono Circular</t>
  </si>
  <si>
    <t>Balsa + Carbono Caixão</t>
  </si>
  <si>
    <t>DivinyCell + Carbono Caixão</t>
  </si>
  <si>
    <t>Dimensões:</t>
  </si>
  <si>
    <t>Quadrado interno:</t>
  </si>
  <si>
    <t>Quadrado externo:</t>
  </si>
  <si>
    <t>Voo</t>
  </si>
  <si>
    <t>Pouso</t>
  </si>
  <si>
    <t>bint=</t>
  </si>
  <si>
    <t>bext=</t>
  </si>
  <si>
    <t>espessura=</t>
  </si>
  <si>
    <t>Flexão</t>
  </si>
  <si>
    <t>hint=</t>
  </si>
  <si>
    <t>hext=</t>
  </si>
  <si>
    <t>Tensão de Flexão =</t>
  </si>
  <si>
    <t>Iintx=</t>
  </si>
  <si>
    <t>Iextx=</t>
  </si>
  <si>
    <t>Mmáx=</t>
  </si>
  <si>
    <t>TensãoAdm=</t>
  </si>
  <si>
    <t>c/2=</t>
  </si>
  <si>
    <t>área=</t>
  </si>
  <si>
    <t>Ix=</t>
  </si>
  <si>
    <t>volume=</t>
  </si>
  <si>
    <t>Cisalhamento</t>
  </si>
  <si>
    <t>massa=</t>
  </si>
  <si>
    <t>Tensão de Cisalhamento=</t>
  </si>
  <si>
    <t>Esforço Cortante=</t>
  </si>
  <si>
    <t>Momento Estático:</t>
  </si>
  <si>
    <t>Tensão de Flexão=</t>
  </si>
  <si>
    <t>Momento Estático=</t>
  </si>
  <si>
    <t>Interno=</t>
  </si>
  <si>
    <t>Momento de Inércia=</t>
  </si>
  <si>
    <t>Externo=</t>
  </si>
  <si>
    <t>t=</t>
  </si>
  <si>
    <t>Suporte de carga:</t>
  </si>
  <si>
    <t>Comprimento entre TP=</t>
  </si>
  <si>
    <t>Massa do suporte de carga=</t>
  </si>
  <si>
    <t>Peso=</t>
  </si>
  <si>
    <t>Carga em pouso=</t>
  </si>
  <si>
    <t>B=</t>
  </si>
  <si>
    <t>espussura</t>
  </si>
  <si>
    <t>bext(mm)=</t>
  </si>
  <si>
    <t>bint(mm)=</t>
  </si>
  <si>
    <t>hext(mm)=</t>
  </si>
  <si>
    <t>hint(mm)=</t>
  </si>
  <si>
    <t>tensão=</t>
  </si>
  <si>
    <t>Tensão (MPa)</t>
  </si>
  <si>
    <t>tensão (MPa)</t>
  </si>
  <si>
    <t>Q(mm^3)</t>
  </si>
  <si>
    <t>I(mm^4)</t>
  </si>
  <si>
    <t>hext(mm)</t>
  </si>
  <si>
    <t>hint(mm)</t>
  </si>
  <si>
    <t>h/2(mm)</t>
  </si>
  <si>
    <t>bext(mm)</t>
  </si>
  <si>
    <t>bint(mm)</t>
  </si>
  <si>
    <t>20235261687832610563</t>
  </si>
  <si>
    <t>0aayXUuc4FtxXUuu</t>
  </si>
  <si>
    <t>dzMm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</si>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</sst>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#,##0.00000000"/>
  </numFmts>
  <fonts count="15">
    <font>
      <sz val="11.0"/>
      <color rgb="FF000000"/>
      <name val="Calibri"/>
      <scheme val="minor"/>
    </font>
    <font>
      <sz val="11.0"/>
      <color theme="1"/>
      <name val="Calibri"/>
    </font>
    <font/>
    <font>
      <sz val="11.0"/>
      <color rgb="FFB5CEA8"/>
      <name val="Consolas"/>
    </font>
    <font>
      <sz val="9.0"/>
      <color rgb="FFFFFFFF"/>
      <name val="&quot;Google Sans&quot;"/>
    </font>
    <font>
      <sz val="11.0"/>
      <color rgb="FF1F1F1F"/>
      <name val="Calibri"/>
      <scheme val="minor"/>
    </font>
    <font>
      <sz val="11.0"/>
      <color theme="1"/>
      <name val="Calibri"/>
      <scheme val="minor"/>
    </font>
    <font>
      <sz val="11.0"/>
      <color rgb="FFFFFFFF"/>
      <name val="Calibri"/>
    </font>
    <font>
      <color rgb="FF000000"/>
      <name val="Roboto"/>
    </font>
    <font>
      <color theme="1"/>
      <name val="Calibri"/>
      <scheme val="minor"/>
    </font>
    <font>
      <sz val="16.0"/>
      <color theme="1"/>
      <name val="Calibri"/>
    </font>
    <font>
      <color rgb="FFFFFFFF"/>
      <name val="Calibri"/>
      <scheme val="minor"/>
    </font>
    <font>
      <sz val="11.0"/>
      <color rgb="FF1155CC"/>
      <name val="Inconsolata"/>
    </font>
    <font>
      <color rgb="FF000000"/>
      <name val="Calibri"/>
      <scheme val="minor"/>
    </font>
    <font>
      <sz val="9.0"/>
      <color rgb="FF1155CC"/>
      <name val="&quot;Google Sans Mono&quot;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8EAADB"/>
        <bgColor rgb="FF8EAADB"/>
      </patternFill>
    </fill>
    <fill>
      <patternFill patternType="solid">
        <fgColor rgb="FF262626"/>
        <bgColor rgb="FF262626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4" fillId="0" fontId="2" numFmtId="0" xfId="0" applyBorder="1" applyFont="1"/>
    <xf borderId="3" fillId="0" fontId="1" numFmtId="0" xfId="0" applyAlignment="1" applyBorder="1" applyFont="1">
      <alignment horizontal="center"/>
    </xf>
    <xf borderId="3" fillId="2" fontId="5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/>
    </xf>
    <xf borderId="0" fillId="3" fontId="7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center"/>
    </xf>
    <xf borderId="3" fillId="0" fontId="1" numFmtId="4" xfId="0" applyAlignment="1" applyBorder="1" applyFont="1" applyNumberFormat="1">
      <alignment horizontal="center"/>
    </xf>
    <xf borderId="3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9" fillId="5" fontId="1" numFmtId="0" xfId="0" applyBorder="1" applyFont="1"/>
    <xf borderId="6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0" fillId="5" fontId="1" numFmtId="0" xfId="0" applyBorder="1" applyFont="1"/>
    <xf borderId="11" fillId="5" fontId="1" numFmtId="0" xfId="0" applyBorder="1" applyFont="1"/>
    <xf borderId="12" fillId="5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6" fillId="0" fontId="1" numFmtId="0" xfId="0" applyBorder="1" applyFont="1"/>
    <xf borderId="3" fillId="6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 readingOrder="0"/>
    </xf>
    <xf borderId="3" fillId="0" fontId="1" numFmtId="4" xfId="0" applyAlignment="1" applyBorder="1" applyFont="1" applyNumberFormat="1">
      <alignment horizontal="center" vertical="bottom"/>
    </xf>
    <xf borderId="8" fillId="0" fontId="1" numFmtId="4" xfId="0" applyAlignment="1" applyBorder="1" applyFont="1" applyNumberFormat="1">
      <alignment horizontal="center" vertical="bottom"/>
    </xf>
    <xf borderId="0" fillId="2" fontId="8" numFmtId="0" xfId="0" applyAlignment="1" applyFont="1">
      <alignment readingOrder="0"/>
    </xf>
    <xf borderId="8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1" fillId="7" fontId="1" numFmtId="0" xfId="0" applyAlignment="1" applyBorder="1" applyFill="1" applyFont="1">
      <alignment horizontal="center"/>
    </xf>
    <xf borderId="0" fillId="7" fontId="9" numFmtId="0" xfId="0" applyFont="1"/>
    <xf borderId="3" fillId="7" fontId="1" numFmtId="0" xfId="0" applyAlignment="1" applyBorder="1" applyFont="1">
      <alignment horizontal="center"/>
    </xf>
    <xf borderId="3" fillId="7" fontId="1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13" fillId="0" fontId="1" numFmtId="0" xfId="0" applyBorder="1" applyFont="1"/>
    <xf borderId="1" fillId="6" fontId="1" numFmtId="0" xfId="0" applyAlignment="1" applyBorder="1" applyFont="1">
      <alignment horizontal="center"/>
    </xf>
    <xf borderId="13" fillId="0" fontId="1" numFmtId="0" xfId="0" applyAlignment="1" applyBorder="1" applyFont="1">
      <alignment shrinkToFit="0" wrapText="1"/>
    </xf>
    <xf borderId="1" fillId="0" fontId="1" numFmtId="2" xfId="0" applyAlignment="1" applyBorder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3" fillId="0" fontId="1" numFmtId="2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/>
    </xf>
    <xf borderId="3" fillId="0" fontId="10" numFmtId="0" xfId="0" applyAlignment="1" applyBorder="1" applyFont="1">
      <alignment horizontal="center"/>
    </xf>
    <xf borderId="14" fillId="0" fontId="1" numFmtId="0" xfId="0" applyAlignment="1" applyBorder="1" applyFont="1">
      <alignment horizontal="center" readingOrder="0"/>
    </xf>
    <xf borderId="3" fillId="0" fontId="1" numFmtId="165" xfId="0" applyAlignment="1" applyBorder="1" applyFont="1" applyNumberFormat="1">
      <alignment vertical="center"/>
    </xf>
    <xf borderId="3" fillId="0" fontId="1" numFmtId="165" xfId="0" applyAlignment="1" applyBorder="1" applyFont="1" applyNumberFormat="1">
      <alignment horizontal="center"/>
    </xf>
    <xf borderId="3" fillId="0" fontId="1" numFmtId="166" xfId="0" applyAlignment="1" applyBorder="1" applyFont="1" applyNumberFormat="1">
      <alignment horizontal="center" readingOrder="0"/>
    </xf>
    <xf borderId="14" fillId="0" fontId="1" numFmtId="0" xfId="0" applyAlignment="1" applyBorder="1" applyFont="1">
      <alignment horizontal="center"/>
    </xf>
    <xf borderId="13" fillId="0" fontId="1" numFmtId="2" xfId="0" applyAlignment="1" applyBorder="1" applyFont="1" applyNumberFormat="1">
      <alignment horizontal="center"/>
    </xf>
    <xf borderId="3" fillId="0" fontId="1" numFmtId="166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3" fillId="0" fontId="1" numFmtId="2" xfId="0" applyBorder="1" applyFont="1" applyNumberFormat="1"/>
    <xf borderId="0" fillId="6" fontId="1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readingOrder="0"/>
    </xf>
    <xf borderId="3" fillId="0" fontId="9" numFmtId="0" xfId="0" applyBorder="1" applyFont="1"/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5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readingOrder="0" vertical="center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0" numFmtId="0" xfId="0" applyAlignment="1" applyFont="1">
      <alignment horizontal="center"/>
    </xf>
    <xf borderId="0" fillId="0" fontId="12" numFmtId="0" xfId="0" applyFont="1"/>
    <xf borderId="0" fillId="0" fontId="1" numFmtId="165" xfId="0" applyAlignment="1" applyFont="1" applyNumberFormat="1">
      <alignment vertical="center"/>
    </xf>
    <xf borderId="0" fillId="0" fontId="12" numFmtId="2" xfId="0" applyFont="1" applyNumberFormat="1"/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 readingOrder="0"/>
    </xf>
    <xf borderId="0" fillId="0" fontId="1" numFmtId="2" xfId="0" applyFont="1" applyNumberFormat="1"/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8" fontId="11" numFmtId="0" xfId="0" applyAlignment="1" applyFill="1" applyFont="1">
      <alignment horizontal="center" readingOrder="0"/>
    </xf>
    <xf borderId="0" fillId="0" fontId="9" numFmtId="2" xfId="0" applyFont="1" applyNumberFormat="1"/>
    <xf borderId="0" fillId="0" fontId="9" numFmtId="0" xfId="0" applyFont="1"/>
    <xf borderId="0" fillId="3" fontId="11" numFmtId="0" xfId="0" applyAlignment="1" applyFont="1">
      <alignment readingOrder="0"/>
    </xf>
    <xf borderId="0" fillId="3" fontId="11" numFmtId="0" xfId="0" applyFont="1"/>
    <xf borderId="3" fillId="3" fontId="11" numFmtId="0" xfId="0" applyAlignment="1" applyBorder="1" applyFont="1">
      <alignment readingOrder="0"/>
    </xf>
    <xf borderId="3" fillId="3" fontId="11" numFmtId="0" xfId="0" applyBorder="1" applyFont="1"/>
    <xf borderId="3" fillId="3" fontId="9" numFmtId="0" xfId="0" applyBorder="1" applyFont="1"/>
    <xf borderId="1" fillId="8" fontId="11" numFmtId="0" xfId="0" applyAlignment="1" applyBorder="1" applyFont="1">
      <alignment readingOrder="0"/>
    </xf>
    <xf borderId="3" fillId="9" fontId="13" numFmtId="0" xfId="0" applyAlignment="1" applyBorder="1" applyFill="1" applyFont="1">
      <alignment readingOrder="0"/>
    </xf>
    <xf borderId="3" fillId="10" fontId="9" numFmtId="0" xfId="0" applyBorder="1" applyFill="1" applyFont="1"/>
    <xf borderId="3" fillId="10" fontId="1" numFmtId="2" xfId="0" applyAlignment="1" applyBorder="1" applyFont="1" applyNumberFormat="1">
      <alignment horizontal="center"/>
    </xf>
    <xf borderId="3" fillId="11" fontId="13" numFmtId="0" xfId="0" applyAlignment="1" applyBorder="1" applyFill="1" applyFont="1">
      <alignment readingOrder="0"/>
    </xf>
    <xf borderId="3" fillId="10" fontId="9" numFmtId="0" xfId="0" applyAlignment="1" applyBorder="1" applyFont="1">
      <alignment readingOrder="0"/>
    </xf>
    <xf borderId="3" fillId="10" fontId="9" numFmtId="4" xfId="0" applyAlignment="1" applyBorder="1" applyFont="1" applyNumberFormat="1">
      <alignment readingOrder="0"/>
    </xf>
    <xf borderId="1" fillId="8" fontId="1" numFmtId="0" xfId="0" applyAlignment="1" applyBorder="1" applyFont="1">
      <alignment horizontal="center"/>
    </xf>
    <xf borderId="0" fillId="0" fontId="9" numFmtId="4" xfId="0" applyAlignment="1" applyFont="1" applyNumberFormat="1">
      <alignment readingOrder="0"/>
    </xf>
    <xf borderId="1" fillId="8" fontId="1" numFmtId="0" xfId="0" applyAlignment="1" applyBorder="1" applyFont="1">
      <alignment horizontal="center" readingOrder="0"/>
    </xf>
    <xf borderId="3" fillId="12" fontId="1" numFmtId="0" xfId="0" applyAlignment="1" applyBorder="1" applyFill="1" applyFont="1">
      <alignment horizontal="center"/>
    </xf>
    <xf borderId="0" fillId="2" fontId="14" numFmtId="0" xfId="0" applyFont="1"/>
    <xf borderId="3" fillId="13" fontId="9" numFmtId="0" xfId="0" applyBorder="1" applyFill="1" applyFont="1"/>
    <xf borderId="0" fillId="13" fontId="9" numFmtId="0" xfId="0" applyAlignment="1" applyFont="1">
      <alignment readingOrder="0"/>
    </xf>
    <xf borderId="0" fillId="13" fontId="9" numFmtId="0" xfId="0" applyFont="1"/>
    <xf borderId="3" fillId="0" fontId="9" numFmtId="0" xfId="0" applyAlignment="1" applyBorder="1" applyFont="1">
      <alignment readingOrder="0"/>
    </xf>
    <xf borderId="3" fillId="13" fontId="9" numFmtId="0" xfId="0" applyAlignment="1" applyBorder="1" applyFont="1">
      <alignment readingOrder="0"/>
    </xf>
    <xf quotePrefix="1"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B050"/>
          <bgColor rgb="FF00B050"/>
        </patternFill>
      </fill>
      <border/>
    </dxf>
    <dxf>
      <font>
        <color rgb="FF9C0006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Distância versus Esforço Cortante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'Gráficos AI'!$B$3:$B$14</c:f>
            </c:strRef>
          </c:cat>
          <c:val>
            <c:numRef>
              <c:f>'Gráficos AI'!$A$3:$A$14</c:f>
              <c:numCache/>
            </c:numRef>
          </c:val>
          <c:smooth val="0"/>
        </c:ser>
        <c:axId val="143278014"/>
        <c:axId val="544826606"/>
      </c:lineChart>
      <c:catAx>
        <c:axId val="143278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826606"/>
      </c:catAx>
      <c:valAx>
        <c:axId val="544826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78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Distância versus Momento Fletor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'Gráficos AI'!$B$19:$B$30</c:f>
            </c:strRef>
          </c:cat>
          <c:val>
            <c:numRef>
              <c:f>'Gráficos AI'!$A$19:$A$30</c:f>
              <c:numCache/>
            </c:numRef>
          </c:val>
          <c:smooth val="0"/>
        </c:ser>
        <c:axId val="1617791832"/>
        <c:axId val="711959144"/>
      </c:lineChart>
      <c:catAx>
        <c:axId val="161779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959144"/>
      </c:catAx>
      <c:valAx>
        <c:axId val="711959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791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Inclinação (Asa Inferior)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Inclinação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'Gráficos AI'!$M$3:$M$8</c:f>
            </c:numRef>
          </c:xVal>
          <c:yVal>
            <c:numRef>
              <c:f>'Gráficos AI'!$L$3:$L$8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86741"/>
        <c:axId val="763657562"/>
      </c:scatterChart>
      <c:valAx>
        <c:axId val="2061686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63657562"/>
      </c:valAx>
      <c:valAx>
        <c:axId val="7636575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6168674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versus Y(x)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'Gráficos AI'!$M$19:$M$29</c:f>
            </c:strRef>
          </c:cat>
          <c:val>
            <c:numRef>
              <c:f>'Gráficos AI'!$L$19:$L$29</c:f>
              <c:numCache/>
            </c:numRef>
          </c:val>
        </c:ser>
        <c:axId val="684638246"/>
        <c:axId val="1533916346"/>
      </c:areaChart>
      <c:catAx>
        <c:axId val="684638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916346"/>
      </c:catAx>
      <c:valAx>
        <c:axId val="1533916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638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0</xdr:rowOff>
    </xdr:from>
    <xdr:ext cx="4371975" cy="2876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104775</xdr:colOff>
      <xdr:row>16</xdr:row>
      <xdr:rowOff>0</xdr:rowOff>
    </xdr:from>
    <xdr:ext cx="4343400" cy="2876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66675</xdr:colOff>
      <xdr:row>0</xdr:row>
      <xdr:rowOff>38100</xdr:rowOff>
    </xdr:from>
    <xdr:ext cx="43719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152400</xdr:colOff>
      <xdr:row>16</xdr:row>
      <xdr:rowOff>0</xdr:rowOff>
    </xdr:from>
    <xdr:ext cx="4371975" cy="28765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9.57"/>
    <col customWidth="1" min="4" max="9" width="13.29"/>
    <col customWidth="1" min="10" max="10" width="13.71"/>
    <col customWidth="1" min="11" max="11" width="15.43"/>
    <col customWidth="1" min="12" max="12" width="12.71"/>
    <col customWidth="1" min="13" max="13" width="13.57"/>
    <col customWidth="1" min="14" max="19" width="8.71"/>
  </cols>
  <sheetData>
    <row r="1">
      <c r="A1" s="1" t="s">
        <v>0</v>
      </c>
      <c r="B1" s="2"/>
    </row>
    <row r="2">
      <c r="A2" s="3" t="s">
        <v>1</v>
      </c>
      <c r="B2" s="4">
        <v>1.205</v>
      </c>
      <c r="C2" s="5"/>
    </row>
    <row r="3">
      <c r="A3" s="6" t="s">
        <v>2</v>
      </c>
    </row>
    <row r="4">
      <c r="C4" s="7" t="s">
        <v>3</v>
      </c>
      <c r="D4" s="8"/>
      <c r="E4" s="8"/>
      <c r="F4" s="8"/>
      <c r="G4" s="8"/>
      <c r="H4" s="8"/>
      <c r="I4" s="8"/>
      <c r="J4" s="2"/>
    </row>
    <row r="5">
      <c r="C5" s="9" t="s">
        <v>4</v>
      </c>
      <c r="D5" s="9">
        <v>6.0</v>
      </c>
      <c r="E5" s="9">
        <v>5.0</v>
      </c>
      <c r="F5" s="9">
        <v>4.0</v>
      </c>
      <c r="G5" s="9">
        <v>3.0</v>
      </c>
      <c r="H5" s="9">
        <v>2.0</v>
      </c>
      <c r="I5" s="9">
        <v>1.0</v>
      </c>
      <c r="J5" s="9">
        <v>0.0</v>
      </c>
    </row>
    <row r="6">
      <c r="C6" s="9" t="s">
        <v>5</v>
      </c>
      <c r="D6" s="10">
        <v>-885.39</v>
      </c>
      <c r="E6" s="10">
        <v>2987.7</v>
      </c>
      <c r="F6" s="11">
        <v>-3790.7</v>
      </c>
      <c r="G6" s="11">
        <v>2194.2</v>
      </c>
      <c r="H6" s="11">
        <v>-575.74</v>
      </c>
      <c r="I6" s="11">
        <v>49.486</v>
      </c>
      <c r="J6" s="11">
        <v>65.706</v>
      </c>
    </row>
    <row r="7">
      <c r="A7" s="12" t="s">
        <v>6</v>
      </c>
    </row>
    <row r="8">
      <c r="O8" s="13" t="s">
        <v>7</v>
      </c>
      <c r="P8" s="14"/>
      <c r="Q8" s="14"/>
      <c r="R8" s="15"/>
    </row>
    <row r="9">
      <c r="C9" s="9"/>
      <c r="D9" s="9"/>
      <c r="E9" s="9"/>
      <c r="F9" s="9"/>
      <c r="G9" s="9"/>
      <c r="H9" s="9"/>
      <c r="I9" s="9"/>
      <c r="J9" s="9"/>
      <c r="K9" s="9"/>
      <c r="O9" s="9" t="s">
        <v>8</v>
      </c>
      <c r="P9" s="16">
        <v>0.0</v>
      </c>
      <c r="Q9" s="16" t="s">
        <v>9</v>
      </c>
      <c r="R9" s="16">
        <f>B2</f>
        <v>1.205</v>
      </c>
    </row>
    <row r="10">
      <c r="C10" s="9" t="s">
        <v>4</v>
      </c>
      <c r="D10" s="9">
        <f t="shared" ref="D10:J10" si="1">D5+1</f>
        <v>7</v>
      </c>
      <c r="E10" s="9">
        <f t="shared" si="1"/>
        <v>6</v>
      </c>
      <c r="F10" s="9">
        <f t="shared" si="1"/>
        <v>5</v>
      </c>
      <c r="G10" s="9">
        <f t="shared" si="1"/>
        <v>4</v>
      </c>
      <c r="H10" s="9">
        <f t="shared" si="1"/>
        <v>3</v>
      </c>
      <c r="I10" s="9">
        <f t="shared" si="1"/>
        <v>2</v>
      </c>
      <c r="J10" s="9">
        <f t="shared" si="1"/>
        <v>1</v>
      </c>
      <c r="K10" s="9">
        <v>0.0</v>
      </c>
      <c r="O10" s="9" t="s">
        <v>8</v>
      </c>
      <c r="P10" s="9" t="s">
        <v>10</v>
      </c>
      <c r="Q10" s="9" t="s">
        <v>11</v>
      </c>
      <c r="R10" s="9">
        <v>0.0</v>
      </c>
    </row>
    <row r="11">
      <c r="C11" s="9" t="s">
        <v>5</v>
      </c>
      <c r="D11" s="17">
        <f t="shared" ref="D11:J11" si="2">D6/D10</f>
        <v>-126.4842857</v>
      </c>
      <c r="E11" s="17">
        <f t="shared" si="2"/>
        <v>497.95</v>
      </c>
      <c r="F11" s="17">
        <f t="shared" si="2"/>
        <v>-758.14</v>
      </c>
      <c r="G11" s="17">
        <f t="shared" si="2"/>
        <v>548.55</v>
      </c>
      <c r="H11" s="17">
        <f t="shared" si="2"/>
        <v>-191.9133333</v>
      </c>
      <c r="I11" s="17">
        <f t="shared" si="2"/>
        <v>24.743</v>
      </c>
      <c r="J11" s="17">
        <f t="shared" si="2"/>
        <v>65.706</v>
      </c>
      <c r="K11" s="18" t="s">
        <v>12</v>
      </c>
      <c r="L11" s="18">
        <f>-((D11*B2^D10)+(E11*B2^E10)+(F11*B2^F10)+(G11*B2^G10)+(H11*B2^H10)+(I11*B2^I10)+(J11*B2^J10))</f>
        <v>-67.56912998</v>
      </c>
    </row>
    <row r="12">
      <c r="N12" s="19" t="s">
        <v>13</v>
      </c>
      <c r="O12" s="8"/>
      <c r="P12" s="2"/>
    </row>
    <row r="13">
      <c r="N13" s="20">
        <f>-((D11*R10^D10)+(E11*R10^E10)+(F11*R10^F10)+(G11*R10^G10)+(H11*R10^H10)+(I11*R10^I10)+(J11*R10^J10)+(L11))</f>
        <v>67.56912998</v>
      </c>
      <c r="O13" s="8"/>
      <c r="P13" s="2"/>
    </row>
    <row r="14" ht="15.75" customHeight="1">
      <c r="A14" s="12" t="s">
        <v>14</v>
      </c>
    </row>
    <row r="15" ht="15.75" customHeight="1">
      <c r="O15" s="13" t="s">
        <v>7</v>
      </c>
      <c r="P15" s="14"/>
      <c r="Q15" s="14"/>
      <c r="R15" s="15"/>
    </row>
    <row r="16" ht="15.75" customHeight="1"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9" t="s">
        <v>15</v>
      </c>
      <c r="P16" s="16">
        <v>0.0</v>
      </c>
      <c r="Q16" s="16" t="s">
        <v>16</v>
      </c>
      <c r="R16" s="16">
        <f> B2</f>
        <v>1.205</v>
      </c>
    </row>
    <row r="17" ht="15.75" customHeight="1">
      <c r="C17" s="16" t="s">
        <v>4</v>
      </c>
      <c r="D17" s="16">
        <f t="shared" ref="D17:K17" si="3">D10+1</f>
        <v>8</v>
      </c>
      <c r="E17" s="16">
        <f t="shared" si="3"/>
        <v>7</v>
      </c>
      <c r="F17" s="16">
        <f t="shared" si="3"/>
        <v>6</v>
      </c>
      <c r="G17" s="16">
        <f t="shared" si="3"/>
        <v>5</v>
      </c>
      <c r="H17" s="16">
        <f t="shared" si="3"/>
        <v>4</v>
      </c>
      <c r="I17" s="16">
        <f t="shared" si="3"/>
        <v>3</v>
      </c>
      <c r="J17" s="16">
        <f t="shared" si="3"/>
        <v>2</v>
      </c>
      <c r="K17" s="16">
        <f t="shared" si="3"/>
        <v>1</v>
      </c>
      <c r="L17" s="22">
        <v>0.0</v>
      </c>
      <c r="O17" s="9" t="s">
        <v>15</v>
      </c>
      <c r="P17" s="9" t="s">
        <v>10</v>
      </c>
      <c r="Q17" s="9" t="s">
        <v>9</v>
      </c>
      <c r="R17" s="9">
        <f> 0</f>
        <v>0</v>
      </c>
    </row>
    <row r="18" ht="15.75" customHeight="1">
      <c r="C18" s="9" t="s">
        <v>5</v>
      </c>
      <c r="D18" s="9">
        <f t="shared" ref="D18:J18" si="4">D11/D17</f>
        <v>-15.81053571</v>
      </c>
      <c r="E18" s="9">
        <f t="shared" si="4"/>
        <v>71.13571429</v>
      </c>
      <c r="F18" s="9">
        <f t="shared" si="4"/>
        <v>-126.3566667</v>
      </c>
      <c r="G18" s="9">
        <f t="shared" si="4"/>
        <v>109.71</v>
      </c>
      <c r="H18" s="9">
        <f t="shared" si="4"/>
        <v>-47.97833333</v>
      </c>
      <c r="I18" s="23">
        <f t="shared" si="4"/>
        <v>8.247666667</v>
      </c>
      <c r="J18" s="23">
        <f t="shared" si="4"/>
        <v>32.853</v>
      </c>
      <c r="K18" s="23">
        <f>L11</f>
        <v>-67.56912998</v>
      </c>
      <c r="L18" s="18" t="s">
        <v>17</v>
      </c>
      <c r="M18" s="18">
        <f>-((D18*(B2^D17))+(E18*(B2^E17))+(F18*(B2^F17))+(G18*(B2^G17))+(H18*(B2^H17))+(I18*(B2^I17))+(J18*(B2^J17))+(K18*(B2^K17)))</f>
        <v>36.40643162</v>
      </c>
    </row>
    <row r="19" ht="15.75" customHeight="1"/>
    <row r="20" ht="15.75" customHeight="1"/>
    <row r="21" ht="15.75" customHeight="1">
      <c r="N21" s="24" t="s">
        <v>18</v>
      </c>
      <c r="O21" s="25"/>
      <c r="P21" s="26"/>
    </row>
    <row r="22" ht="15.75" customHeight="1">
      <c r="N22" s="20">
        <f>-((D18*R17^D17)+(E18*R17^E17)+(F18*R17^F17)+(G18*R17^G17)+(H18*R17^H17)+(I18*R17^I17)+(J18*R17^J17)+(K18*R17^K17)+(M18))</f>
        <v>-36.40643162</v>
      </c>
      <c r="O22" s="8"/>
      <c r="P22" s="2"/>
    </row>
    <row r="23" ht="15.75" customHeight="1"/>
    <row r="24" ht="15.75" customHeight="1"/>
    <row r="25" ht="15.75" customHeight="1">
      <c r="B25" s="27" t="s">
        <v>19</v>
      </c>
      <c r="S25" s="28"/>
    </row>
    <row r="26" ht="15.75" customHeight="1">
      <c r="P26" s="1" t="s">
        <v>7</v>
      </c>
      <c r="Q26" s="8"/>
      <c r="R26" s="8"/>
      <c r="S26" s="2"/>
    </row>
    <row r="27" ht="15.75" customHeight="1"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O27" s="27"/>
      <c r="P27" s="9" t="s">
        <v>20</v>
      </c>
      <c r="Q27" s="9">
        <v>0.0</v>
      </c>
      <c r="R27" s="9" t="s">
        <v>16</v>
      </c>
      <c r="S27" s="9">
        <v>0.0</v>
      </c>
    </row>
    <row r="28" ht="15.75" customHeight="1">
      <c r="C28" s="9" t="s">
        <v>4</v>
      </c>
      <c r="D28" s="9">
        <f t="shared" ref="D28:L28" si="5">D17+1</f>
        <v>9</v>
      </c>
      <c r="E28" s="9">
        <f t="shared" si="5"/>
        <v>8</v>
      </c>
      <c r="F28" s="9">
        <f t="shared" si="5"/>
        <v>7</v>
      </c>
      <c r="G28" s="9">
        <f t="shared" si="5"/>
        <v>6</v>
      </c>
      <c r="H28" s="9">
        <f t="shared" si="5"/>
        <v>5</v>
      </c>
      <c r="I28" s="9">
        <f t="shared" si="5"/>
        <v>4</v>
      </c>
      <c r="J28" s="9">
        <f t="shared" si="5"/>
        <v>3</v>
      </c>
      <c r="K28" s="9">
        <f t="shared" si="5"/>
        <v>2</v>
      </c>
      <c r="L28" s="9">
        <f t="shared" si="5"/>
        <v>1</v>
      </c>
      <c r="M28" s="9">
        <v>0.0</v>
      </c>
      <c r="O28" s="27"/>
      <c r="P28" s="9" t="s">
        <v>20</v>
      </c>
      <c r="Q28" s="9" t="s">
        <v>21</v>
      </c>
      <c r="R28" s="9" t="s">
        <v>22</v>
      </c>
      <c r="S28" s="9">
        <f>B2</f>
        <v>1.205</v>
      </c>
    </row>
    <row r="29" ht="15.75" customHeight="1">
      <c r="C29" s="9" t="s">
        <v>5</v>
      </c>
      <c r="D29" s="9">
        <f t="shared" ref="D29:J29" si="6">E18/D28</f>
        <v>7.903968254</v>
      </c>
      <c r="E29" s="9">
        <f t="shared" si="6"/>
        <v>-15.79458333</v>
      </c>
      <c r="F29" s="9">
        <f t="shared" si="6"/>
        <v>15.67285714</v>
      </c>
      <c r="G29" s="9">
        <f t="shared" si="6"/>
        <v>-7.996388889</v>
      </c>
      <c r="H29" s="9">
        <f t="shared" si="6"/>
        <v>1.649533333</v>
      </c>
      <c r="I29" s="9">
        <f t="shared" si="6"/>
        <v>8.21325</v>
      </c>
      <c r="J29" s="9">
        <f t="shared" si="6"/>
        <v>-22.52304333</v>
      </c>
      <c r="K29" s="9">
        <f>K18/K28</f>
        <v>-33.78456499</v>
      </c>
      <c r="L29" s="23">
        <f>M18</f>
        <v>36.40643162</v>
      </c>
      <c r="M29" s="18" t="s">
        <v>23</v>
      </c>
      <c r="N29" s="18">
        <f>((D29*S27^D28)+(E29*S27^E28)+(F29*S27^F28)+(G29*S27^G28)+(H29*S27^H28)+(I29*S27^I28)+(J29*S27^J28)+(K29*S27^K28)+(L29*S27^L28))</f>
        <v>0</v>
      </c>
      <c r="O29" s="29"/>
    </row>
    <row r="30" ht="15.75" customHeight="1"/>
    <row r="31" ht="15.75" customHeight="1"/>
    <row r="32" ht="15.75" customHeight="1">
      <c r="N32" s="19" t="s">
        <v>24</v>
      </c>
      <c r="O32" s="8"/>
      <c r="P32" s="2"/>
    </row>
    <row r="33" ht="15.75" customHeight="1">
      <c r="N33" s="19">
        <f>((D29*$B$2^D28)+(E29*$B$2^E28)+(F29*$B$2^F28)+(G29*$B$2^G28)+(H29*$B$2^H28)+(I29*$B$2^I28)+(J29*$B$2^J28)+(K29*$B$2^K28)+(L29*B2^L28)+(N29))</f>
        <v>-17.62329061</v>
      </c>
      <c r="O33" s="8"/>
      <c r="P33" s="2"/>
    </row>
    <row r="34" ht="15.75" customHeight="1"/>
    <row r="35" ht="15.75" customHeight="1"/>
    <row r="36" ht="15.75" customHeight="1">
      <c r="B36" s="27" t="s">
        <v>25</v>
      </c>
      <c r="S36" s="28"/>
    </row>
    <row r="37" ht="15.75" customHeight="1">
      <c r="P37" s="1" t="s">
        <v>7</v>
      </c>
      <c r="Q37" s="8"/>
      <c r="R37" s="8"/>
      <c r="S37" s="2"/>
    </row>
    <row r="38" ht="15.75" customHeight="1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27"/>
      <c r="P38" s="9" t="s">
        <v>20</v>
      </c>
      <c r="Q38" s="9">
        <v>0.0</v>
      </c>
      <c r="R38" s="9" t="s">
        <v>16</v>
      </c>
      <c r="S38" s="9">
        <v>0.0</v>
      </c>
    </row>
    <row r="39" ht="15.75" customHeight="1">
      <c r="C39" s="9" t="s">
        <v>4</v>
      </c>
      <c r="D39" s="16">
        <f t="shared" ref="D39:M39" si="7">D28+1</f>
        <v>10</v>
      </c>
      <c r="E39" s="16">
        <f t="shared" si="7"/>
        <v>9</v>
      </c>
      <c r="F39" s="16">
        <f t="shared" si="7"/>
        <v>8</v>
      </c>
      <c r="G39" s="16">
        <f t="shared" si="7"/>
        <v>7</v>
      </c>
      <c r="H39" s="16">
        <f t="shared" si="7"/>
        <v>6</v>
      </c>
      <c r="I39" s="16">
        <f t="shared" si="7"/>
        <v>5</v>
      </c>
      <c r="J39" s="16">
        <f t="shared" si="7"/>
        <v>4</v>
      </c>
      <c r="K39" s="16">
        <f t="shared" si="7"/>
        <v>3</v>
      </c>
      <c r="L39" s="16">
        <f t="shared" si="7"/>
        <v>2</v>
      </c>
      <c r="M39" s="16">
        <f t="shared" si="7"/>
        <v>1</v>
      </c>
      <c r="N39" s="9">
        <v>0.0</v>
      </c>
      <c r="P39" s="9" t="s">
        <v>20</v>
      </c>
      <c r="Q39" s="9" t="s">
        <v>21</v>
      </c>
      <c r="R39" s="9" t="s">
        <v>22</v>
      </c>
      <c r="S39" s="9">
        <f>B2</f>
        <v>1.205</v>
      </c>
    </row>
    <row r="40" ht="15.75" customHeight="1">
      <c r="C40" s="9" t="s">
        <v>5</v>
      </c>
      <c r="D40" s="9">
        <f t="shared" ref="D40:L40" si="8">D29/D39</f>
        <v>0.7903968254</v>
      </c>
      <c r="E40" s="9">
        <f t="shared" si="8"/>
        <v>-1.754953704</v>
      </c>
      <c r="F40" s="9">
        <f t="shared" si="8"/>
        <v>1.959107143</v>
      </c>
      <c r="G40" s="9">
        <f t="shared" si="8"/>
        <v>-1.14234127</v>
      </c>
      <c r="H40" s="9">
        <f t="shared" si="8"/>
        <v>0.2749222222</v>
      </c>
      <c r="I40" s="9">
        <f t="shared" si="8"/>
        <v>1.64265</v>
      </c>
      <c r="J40" s="9">
        <f t="shared" si="8"/>
        <v>-5.630760831</v>
      </c>
      <c r="K40" s="9">
        <f t="shared" si="8"/>
        <v>-11.26152166</v>
      </c>
      <c r="L40" s="9">
        <f t="shared" si="8"/>
        <v>18.20321581</v>
      </c>
      <c r="M40" s="23">
        <f>N29</f>
        <v>0</v>
      </c>
      <c r="N40" s="18" t="s">
        <v>26</v>
      </c>
      <c r="O40" s="18">
        <f>((D40*S38^D39)+(E40*S38^E39)+(F40*S38^F39)+(G40*S38^G39)+(H40*S38^H39)+(I40*S38^I39)+(J40*S38^J39)+(K40*S38^K39)+(L40*S38^L39)+(M40*S38^M39))</f>
        <v>0</v>
      </c>
    </row>
    <row r="41" ht="15.75" customHeight="1"/>
    <row r="42" ht="15.75" customHeight="1"/>
    <row r="43" ht="15.75" customHeight="1">
      <c r="N43" s="19" t="s">
        <v>27</v>
      </c>
      <c r="O43" s="8"/>
      <c r="P43" s="2"/>
    </row>
    <row r="44" ht="15.75" customHeight="1">
      <c r="N44" s="19">
        <f>((D40*S39^D39)+(E40*S39^E39)+(F40*S39^F39)+(G40*S39^G39)+(H40*S39^H39)+(I40*S39^I39)+(J40*S39^J39)+(K40*S39^K39)+(L40*S39^L39)+(M40*S39^M39)+(O40))</f>
        <v>0.06641474612</v>
      </c>
      <c r="O44" s="8"/>
      <c r="P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8">
    <mergeCell ref="A1:B1"/>
    <mergeCell ref="A3:R3"/>
    <mergeCell ref="C4:J4"/>
    <mergeCell ref="A7:R7"/>
    <mergeCell ref="O8:R8"/>
    <mergeCell ref="N12:P12"/>
    <mergeCell ref="A14:R14"/>
    <mergeCell ref="B36:R36"/>
    <mergeCell ref="P37:S37"/>
    <mergeCell ref="N43:P43"/>
    <mergeCell ref="N44:P44"/>
    <mergeCell ref="N13:P13"/>
    <mergeCell ref="O15:R15"/>
    <mergeCell ref="N22:P22"/>
    <mergeCell ref="B25:R25"/>
    <mergeCell ref="P26:S26"/>
    <mergeCell ref="N32:P32"/>
    <mergeCell ref="N33:P3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11" width="8.71"/>
    <col customWidth="1" min="12" max="12" width="15.29"/>
    <col customWidth="1" min="13" max="13" width="8.71"/>
  </cols>
  <sheetData>
    <row r="1">
      <c r="A1" s="1" t="s">
        <v>28</v>
      </c>
      <c r="B1" s="2"/>
      <c r="L1" s="27" t="s">
        <v>29</v>
      </c>
    </row>
    <row r="2">
      <c r="A2" s="31" t="s">
        <v>8</v>
      </c>
      <c r="B2" s="31" t="s">
        <v>30</v>
      </c>
      <c r="L2" s="31" t="s">
        <v>31</v>
      </c>
      <c r="M2" s="31" t="s">
        <v>30</v>
      </c>
    </row>
    <row r="3">
      <c r="A3" s="17">
        <f>(('Integrais AI'!D$11*B3^'Integrais AI'!D$10)+('Integrais AI'!E$11*B3^'Integrais AI'!E$10)+('Integrais AI'!F$11*B3^'Integrais AI'!F$10)+('Integrais AI'!G$11*B3^'Integrais AI'!G$10)+('Integrais AI'!H$11*B3^'Integrais AI'!H$10)+('Integrais AI'!I$11*B3^'Integrais AI'!I$10)+('Integrais AI'!J$11*B3^'Integrais AI'!J$10)+('Integrais AI'!L$11))</f>
        <v>-67.56912998</v>
      </c>
      <c r="B3" s="32">
        <v>0.0</v>
      </c>
      <c r="L3" s="9">
        <f>(('Integrais AI'!D$29*M3^'Integrais AI'!D$28)+('Integrais AI'!E$29*B3^'Integrais AI'!E$28)+('Integrais AI'!F$29*B3^'Integrais AI'!F$28)+('Integrais AI'!G$29*B3^'Integrais AI'!G$28)+('Integrais AI'!H$29*B3^'Integrais AI'!H$28)+('Integrais AI'!I$29*B3^'Integrais AI'!I$28)+('Integrais AI'!J$29*B3^'Integrais AI'!J$28)+('Integrais AI'!K$29*B3^'Integrais AI'!K$28)+('Integrais AI'!L$29*B3^'Integrais AI'!L$28)+('Integrais AI'!N$29))</f>
        <v>0</v>
      </c>
      <c r="M3" s="9">
        <v>0.0</v>
      </c>
    </row>
    <row r="4">
      <c r="A4" s="17">
        <f>(('Integrais AI'!D$11*B4^'Integrais AI'!D$10)+('Integrais AI'!E$11*B4^'Integrais AI'!E$10)+('Integrais AI'!F$11*B4^'Integrais AI'!F$10)+('Integrais AI'!G$11*B4^'Integrais AI'!G$10)+('Integrais AI'!H$11*B4^'Integrais AI'!H$10)+('Integrais AI'!I$11*B4^'Integrais AI'!I$10)+('Integrais AI'!J$11*B4^'Integrais AI'!J$10)+('Integrais AI'!L$11))</f>
        <v>-56.46147252</v>
      </c>
      <c r="B4" s="32">
        <v>0.167</v>
      </c>
      <c r="L4" s="9">
        <f>(('Integrais AI'!D$29*M4^'Integrais AI'!D$28)+('Integrais AI'!E$29*B4^'Integrais AI'!E$28)+('Integrais AI'!F$29*B4^'Integrais AI'!F$28)+('Integrais AI'!G$29*B4^'Integrais AI'!G$28)+('Integrais AI'!H$29*B4^'Integrais AI'!H$28)+('Integrais AI'!I$29*B4^'Integrais AI'!I$28)+('Integrais AI'!J$29*B4^'Integrais AI'!J$28)+('Integrais AI'!K$29*B4^'Integrais AI'!K$28)+('Integrais AI'!L$29*B4^'Integrais AI'!L$28)+('Integrais AI'!N$29))</f>
        <v>5.039239806</v>
      </c>
      <c r="M4" s="32">
        <f>1.07*1/5</f>
        <v>0.214</v>
      </c>
    </row>
    <row r="5">
      <c r="A5" s="33">
        <f>(('Integrais AI'!D$11*'Gráficos AI'!B5^'Integrais AI'!D$10)+('Integrais AI'!E$11*B5^'Integrais AI'!E$10)+('Integrais AI'!F$11*B5^'Integrais AI'!F$10)+('Integrais AI'!G$11*B5^'Integrais AI'!G$10)+('Integrais AI'!H$11*B5^'Integrais AI'!H$10)+('Integrais AI'!I$11*B5^'Integrais AI'!I$10)+('Integrais AI'!J$11*B5^'Integrais AI'!J$10)+('Integrais AI'!L$11))</f>
        <v>-54.30819164</v>
      </c>
      <c r="B5" s="32">
        <v>0.2</v>
      </c>
      <c r="L5" s="9">
        <f>(('Integrais AI'!D$29*M5^'Integrais AI'!D$28)+('Integrais AI'!E$29*B5^'Integrais AI'!E$28)+('Integrais AI'!F$29*B5^'Integrais AI'!F$28)+('Integrais AI'!G$29*B5^'Integrais AI'!G$28)+('Integrais AI'!H$29*B5^'Integrais AI'!H$28)+('Integrais AI'!I$29*B5^'Integrais AI'!I$28)+('Integrais AI'!J$29*B5^'Integrais AI'!J$28)+('Integrais AI'!K$29*B5^'Integrais AI'!K$28)+('Integrais AI'!L$29*B5^'Integrais AI'!L$28)+('Integrais AI'!N$29))</f>
        <v>5.766846085</v>
      </c>
      <c r="M5" s="32">
        <f>1.07*2/5</f>
        <v>0.428</v>
      </c>
    </row>
    <row r="6">
      <c r="A6" s="34">
        <f>(('Integrais AI'!D$11*'Gráficos AI'!B6^'Integrais AI'!D$10)+('Integrais AI'!E$11*B6^'Integrais AI'!E$10)+('Integrais AI'!F$11*B6^'Integrais AI'!F$10)+('Integrais AI'!G$11*B6^'Integrais AI'!G$10)+('Integrais AI'!H$11*B6^'Integrais AI'!H$10)+('Integrais AI'!I$11*B6^'Integrais AI'!I$10)+('Integrais AI'!J$11*B6^'Integrais AI'!J$10)+('Integrais AI'!L$11))</f>
        <v>-47.87580174</v>
      </c>
      <c r="B6" s="32">
        <v>0.3</v>
      </c>
      <c r="L6" s="9">
        <f>(('Integrais AI'!D$29*M6^'Integrais AI'!D$28)+('Integrais AI'!E$29*B6^'Integrais AI'!E$28)+('Integrais AI'!F$29*B6^'Integrais AI'!F$28)+('Integrais AI'!G$29*B6^'Integrais AI'!G$28)+('Integrais AI'!H$29*B6^'Integrais AI'!H$28)+('Integrais AI'!I$29*B6^'Integrais AI'!I$28)+('Integrais AI'!J$29*B6^'Integrais AI'!J$28)+('Integrais AI'!K$29*B6^'Integrais AI'!K$28)+('Integrais AI'!L$29*B6^'Integrais AI'!L$28)+('Integrais AI'!N$29))</f>
        <v>7.486734404</v>
      </c>
      <c r="M6" s="32">
        <f>1.07*3/5</f>
        <v>0.642</v>
      </c>
    </row>
    <row r="7">
      <c r="A7" s="33">
        <f>(('Integrais AI'!D$11*'Gráficos AI'!B7^'Integrais AI'!D$10)+('Integrais AI'!E$11*B7^'Integrais AI'!E$10)+('Integrais AI'!F$11*B7^'Integrais AI'!F$10)+('Integrais AI'!G$11*B7^'Integrais AI'!G$10)+('Integrais AI'!H$11*B7^'Integrais AI'!H$10)+('Integrais AI'!I$11*B7^'Integrais AI'!I$10)+('Integrais AI'!J$11*B7^'Integrais AI'!J$10)+('Integrais AI'!L$11))</f>
        <v>-36.27718758</v>
      </c>
      <c r="B7" s="32">
        <f t="shared" ref="B7:B11" si="1">B$13*C23/10</f>
        <v>0.482</v>
      </c>
      <c r="L7" s="9">
        <f>(('Integrais AI'!D$29*M7^'Integrais AI'!D$28)+('Integrais AI'!E$29*B7^'Integrais AI'!E$28)+('Integrais AI'!F$29*B7^'Integrais AI'!F$28)+('Integrais AI'!G$29*B7^'Integrais AI'!G$28)+('Integrais AI'!H$29*B7^'Integrais AI'!H$28)+('Integrais AI'!I$29*B7^'Integrais AI'!I$28)+('Integrais AI'!J$29*B7^'Integrais AI'!J$28)+('Integrais AI'!K$29*B7^'Integrais AI'!K$28)+('Integrais AI'!L$29*B7^'Integrais AI'!L$28)+('Integrais AI'!N$29))</f>
        <v>9.561797446</v>
      </c>
      <c r="M7" s="35">
        <f>1.07*4/5</f>
        <v>0.856</v>
      </c>
    </row>
    <row r="8">
      <c r="A8" s="33">
        <f>(('Integrais AI'!D$11*'Gráficos AI'!B8^'Integrais AI'!D$10)+('Integrais AI'!E$11*B8^'Integrais AI'!E$10)+('Integrais AI'!F$11*B8^'Integrais AI'!F$10)+('Integrais AI'!G$11*B8^'Integrais AI'!G$10)+('Integrais AI'!H$11*B8^'Integrais AI'!H$10)+('Integrais AI'!I$11*B8^'Integrais AI'!I$10)+('Integrais AI'!J$11*B8^'Integrais AI'!J$10)+('Integrais AI'!L$11))</f>
        <v>-28.70614056</v>
      </c>
      <c r="B8" s="32">
        <f t="shared" si="1"/>
        <v>0.6025</v>
      </c>
      <c r="L8" s="9">
        <f>(('Integrais AI'!D$29*M8^'Integrais AI'!D$28)+('Integrais AI'!E$29*B8^'Integrais AI'!E$28)+('Integrais AI'!F$29*B8^'Integrais AI'!F$28)+('Integrais AI'!G$29*B8^'Integrais AI'!G$28)+('Integrais AI'!H$29*B8^'Integrais AI'!H$28)+('Integrais AI'!I$29*B8^'Integrais AI'!I$28)+('Integrais AI'!J$29*B8^'Integrais AI'!J$28)+('Integrais AI'!K$29*B8^'Integrais AI'!K$28)+('Integrais AI'!L$29*B8^'Integrais AI'!L$28)+('Integrais AI'!N$29))</f>
        <v>20.28412987</v>
      </c>
      <c r="M8" s="32">
        <v>1.07</v>
      </c>
    </row>
    <row r="9">
      <c r="A9" s="34">
        <f>(('Integrais AI'!D$11*'Gráficos AI'!B9^'Integrais AI'!D$10)+('Integrais AI'!E$11*B9^'Integrais AI'!E$10)+('Integrais AI'!F$11*B9^'Integrais AI'!F$10)+('Integrais AI'!G$11*B9^'Integrais AI'!G$10)+('Integrais AI'!H$11*B9^'Integrais AI'!H$10)+('Integrais AI'!I$11*B9^'Integrais AI'!I$10)+('Integrais AI'!J$11*B9^'Integrais AI'!J$10)+('Integrais AI'!L$11))</f>
        <v>-21.48482193</v>
      </c>
      <c r="B9" s="32">
        <f t="shared" si="1"/>
        <v>0.723</v>
      </c>
    </row>
    <row r="10">
      <c r="A10" s="33">
        <f>(('Integrais AI'!D$11*'Gráficos AI'!B10^'Integrais AI'!D$10)+('Integrais AI'!E$11*B10^'Integrais AI'!E$10)+('Integrais AI'!F$11*B10^'Integrais AI'!F$10)+('Integrais AI'!G$11*B10^'Integrais AI'!G$10)+('Integrais AI'!H$11*B10^'Integrais AI'!H$10)+('Integrais AI'!I$11*B10^'Integrais AI'!I$10)+('Integrais AI'!J$11*B10^'Integrais AI'!J$10)+('Integrais AI'!L$11))</f>
        <v>-14.83229146</v>
      </c>
      <c r="B10" s="32">
        <f t="shared" si="1"/>
        <v>0.8435</v>
      </c>
    </row>
    <row r="11">
      <c r="A11" s="34">
        <f>(('Integrais AI'!D$11*'Gráficos AI'!B11^'Integrais AI'!D$10)+('Integrais AI'!E$11*B11^'Integrais AI'!E$10)+('Integrais AI'!F$11*B11^'Integrais AI'!F$10)+('Integrais AI'!G$11*B11^'Integrais AI'!G$10)+('Integrais AI'!H$11*B11^'Integrais AI'!H$10)+('Integrais AI'!I$11*B11^'Integrais AI'!I$10)+('Integrais AI'!J$11*B11^'Integrais AI'!J$10)+('Integrais AI'!L$11))</f>
        <v>-8.821605977</v>
      </c>
      <c r="B11" s="32">
        <f t="shared" si="1"/>
        <v>0.964</v>
      </c>
    </row>
    <row r="12">
      <c r="A12" s="33">
        <f>(('Integrais AI'!D$11*'Gráficos AI'!B12^'Integrais AI'!D$10)+('Integrais AI'!E$11*B12^'Integrais AI'!E$10)+('Integrais AI'!F$11*B12^'Integrais AI'!F$10)+('Integrais AI'!G$11*B12^'Integrais AI'!G$10)+('Integrais AI'!H$11*B12^'Integrais AI'!H$10)+('Integrais AI'!I$11*B12^'Integrais AI'!I$10)+('Integrais AI'!J$11*B12^'Integrais AI'!J$10)+('Integrais AI'!L$11))</f>
        <v>-2.79888178</v>
      </c>
      <c r="B12" s="32">
        <v>1.105</v>
      </c>
    </row>
    <row r="13">
      <c r="A13" s="36">
        <f>(('Integrais AI'!D$11*'Gráficos AI'!B13^'Integrais AI'!D$10)+('Integrais AI'!E$11*B13^'Integrais AI'!E$10)+('Integrais AI'!F$11*B13^'Integrais AI'!F$10)+('Integrais AI'!G$11*B13^'Integrais AI'!G$10)+('Integrais AI'!H$11*B13^'Integrais AI'!H$10)+('Integrais AI'!I$11*B13^'Integrais AI'!I$10)+('Integrais AI'!J$11*B13^'Integrais AI'!J$10)+('Integrais AI'!L$11))</f>
        <v>0</v>
      </c>
      <c r="B13" s="32">
        <f>'Integrais AI'!B2</f>
        <v>1.205</v>
      </c>
    </row>
    <row r="14">
      <c r="A14" s="37"/>
    </row>
    <row r="15">
      <c r="A15" s="27"/>
      <c r="B15" s="27"/>
    </row>
    <row r="16">
      <c r="A16" s="27"/>
      <c r="B16" s="27"/>
    </row>
    <row r="17">
      <c r="A17" s="1" t="s">
        <v>32</v>
      </c>
      <c r="B17" s="2"/>
      <c r="L17" s="38" t="s">
        <v>33</v>
      </c>
      <c r="M17" s="2"/>
      <c r="N17" s="39"/>
      <c r="O17" s="39"/>
      <c r="P17" s="39"/>
      <c r="Q17" s="39"/>
      <c r="R17" s="39"/>
    </row>
    <row r="18">
      <c r="A18" s="31" t="s">
        <v>15</v>
      </c>
      <c r="B18" s="31" t="s">
        <v>30</v>
      </c>
      <c r="L18" s="40" t="s">
        <v>34</v>
      </c>
      <c r="M18" s="40" t="s">
        <v>30</v>
      </c>
      <c r="N18" s="39"/>
      <c r="O18" s="39"/>
      <c r="P18" s="39"/>
      <c r="Q18" s="39"/>
      <c r="R18" s="39"/>
    </row>
    <row r="19">
      <c r="A19" s="17">
        <f>-(('Integrais AI'!D$18*B19^'Integrais AI'!D$17)+('Integrais AI'!E$18*B19^'Integrais AI'!E$17)+('Integrais AI'!F$18*B19^'Integrais AI'!F$17)+('Integrais AI'!G$18*B19^'Integrais AI'!G$17)+('Integrais AI'!H$18*B19^'Integrais AI'!H$17)+('Integrais AI'!I$18*B19^'Integrais AI'!I$17)+('Integrais AI'!J$18*B19^'Integrais AI'!J$17)+('Integrais AI'!K$18*B19^'Integrais AI'!K$17)+('Integrais AI'!M$18))</f>
        <v>-36.40643162</v>
      </c>
      <c r="B19" s="32">
        <v>0.0</v>
      </c>
      <c r="L19" s="40">
        <f>(('Integrais AI'!D$40*M19^'Integrais AI'!D$39)+('Integrais AI'!E$40*M19^'Integrais AI'!E$39)+('Integrais AI'!F$40*M19^'Integrais AI'!F$39)+('Integrais AI'!G$40*M19^'Integrais AI'!G$39)+('Integrais AI'!H$40*M19^'Integrais AI'!H$39)+('Integrais AI'!I$40*M19^'Integrais AI'!I$39)+('Integrais AI'!J$40*M19^'Integrais AI'!J$39)+('Integrais AI'!K$40*M19^'Integrais AI'!K$39)+('Integrais AI'!L$40*M19^'Integrais AI'!L$39))</f>
        <v>0</v>
      </c>
      <c r="M19" s="41">
        <v>0.0</v>
      </c>
      <c r="N19" s="39"/>
      <c r="O19" s="39"/>
      <c r="P19" s="39"/>
      <c r="Q19" s="39"/>
      <c r="R19" s="39"/>
    </row>
    <row r="20">
      <c r="A20" s="17">
        <f>-(('Integrais AI'!D$18*B20^'Integrais AI'!D$17)+('Integrais AI'!E$18*B20^'Integrais AI'!E$17)+('Integrais AI'!F$18*B20^'Integrais AI'!F$17)+('Integrais AI'!G$18*B20^'Integrais AI'!G$17)+('Integrais AI'!H$18*B20^'Integrais AI'!H$17)+('Integrais AI'!I$18*B20^'Integrais AI'!I$17)+('Integrais AI'!J$18*B20^'Integrais AI'!J$17)+('Integrais AI'!K$18*B20^'Integrais AI'!K$17)+('Integrais AI'!M$18))</f>
        <v>-26.05147772</v>
      </c>
      <c r="B20" s="32">
        <v>0.167</v>
      </c>
      <c r="C20" s="42">
        <v>1.0</v>
      </c>
      <c r="L20" s="40">
        <f>(('Integrais AI'!D$40*M20^'Integrais AI'!D$39)+('Integrais AI'!E$40*M20^'Integrais AI'!E$39)+('Integrais AI'!F$40*M20^'Integrais AI'!F$39)+('Integrais AI'!G$40*M20^'Integrais AI'!G$39)+('Integrais AI'!H$40*M20^'Integrais AI'!H$39)+('Integrais AI'!I$40*M20^'Integrais AI'!I$39)+('Integrais AI'!J$40*M20^'Integrais AI'!J$39)+('Integrais AI'!K$40*M20^'Integrais AI'!K$39)+('Integrais AI'!L$40*M20^'Integrais AI'!L$39))</f>
        <v>0.1938979904</v>
      </c>
      <c r="M20" s="41">
        <v>0.107</v>
      </c>
      <c r="N20" s="39"/>
      <c r="O20" s="39"/>
      <c r="P20" s="39"/>
      <c r="Q20" s="39"/>
      <c r="R20" s="39"/>
    </row>
    <row r="21" ht="15.75" customHeight="1">
      <c r="A21" s="17">
        <f>-(('Integrais AI'!D$18*B21^'Integrais AI'!D$17)+('Integrais AI'!E$18*B21^'Integrais AI'!E$17)+('Integrais AI'!F$18*B21^'Integrais AI'!F$17)+('Integrais AI'!G$18*B21^'Integrais AI'!G$17)+('Integrais AI'!H$18*B21^'Integrais AI'!H$17)+('Integrais AI'!I$18*B21^'Integrais AI'!I$17)+('Integrais AI'!J$18*B21^'Integrais AI'!J$17)+('Integrais AI'!K$18*B21^'Integrais AI'!K$17)+('Integrais AI'!M$18))</f>
        <v>-22.0516181</v>
      </c>
      <c r="B21" s="32">
        <f t="shared" ref="B21:B27" si="2">B$29*C21/10</f>
        <v>0.241</v>
      </c>
      <c r="C21" s="42">
        <v>2.0</v>
      </c>
      <c r="L21" s="40">
        <f>(('Integrais AI'!D$40*M21^'Integrais AI'!D$39)+('Integrais AI'!E$40*M21^'Integrais AI'!E$39)+('Integrais AI'!F$40*M21^'Integrais AI'!F$39)+('Integrais AI'!G$40*M21^'Integrais AI'!G$39)+('Integrais AI'!H$40*M21^'Integrais AI'!H$39)+('Integrais AI'!I$40*M21^'Integrais AI'!I$39)+('Integrais AI'!J$40*M21^'Integrais AI'!J$39)+('Integrais AI'!K$40*M21^'Integrais AI'!K$39)+('Integrais AI'!L$40*M21^'Integrais AI'!L$39))</f>
        <v>0.7122057376</v>
      </c>
      <c r="M21" s="41">
        <v>0.214</v>
      </c>
      <c r="N21" s="39"/>
      <c r="O21" s="39"/>
      <c r="P21" s="39"/>
      <c r="Q21" s="39"/>
      <c r="R21" s="39"/>
    </row>
    <row r="22" ht="15.75" customHeight="1">
      <c r="A22" s="17">
        <f>-(('Integrais AI'!D$18*B22^'Integrais AI'!D$17)+('Integrais AI'!E$18*B22^'Integrais AI'!E$17)+('Integrais AI'!F$18*B22^'Integrais AI'!F$17)+('Integrais AI'!G$18*B22^'Integrais AI'!G$17)+('Integrais AI'!H$18*B22^'Integrais AI'!H$17)+('Integrais AI'!I$18*B22^'Integrais AI'!I$17)+('Integrais AI'!J$18*B22^'Integrais AI'!J$17)+('Integrais AI'!K$18*B22^'Integrais AI'!K$17)+('Integrais AI'!M$18))</f>
        <v>-16.29185272</v>
      </c>
      <c r="B22" s="32">
        <f t="shared" si="2"/>
        <v>0.3615</v>
      </c>
      <c r="C22" s="42">
        <v>3.0</v>
      </c>
      <c r="L22" s="40">
        <f>(('Integrais AI'!D$40*M22^'Integrais AI'!D$39)+('Integrais AI'!E$40*M22^'Integrais AI'!E$39)+('Integrais AI'!F$40*M22^'Integrais AI'!F$39)+('Integrais AI'!G$40*M22^'Integrais AI'!G$39)+('Integrais AI'!H$40*M22^'Integrais AI'!H$39)+('Integrais AI'!I$40*M22^'Integrais AI'!I$39)+('Integrais AI'!J$40*M22^'Integrais AI'!J$39)+('Integrais AI'!K$40*M22^'Integrais AI'!K$39)+('Integrais AI'!L$40*M22^'Integrais AI'!L$39))</f>
        <v>1.449069957</v>
      </c>
      <c r="M22" s="41">
        <v>0.321</v>
      </c>
      <c r="N22" s="39"/>
      <c r="O22" s="39"/>
      <c r="P22" s="39"/>
      <c r="Q22" s="39"/>
      <c r="R22" s="39"/>
    </row>
    <row r="23" ht="15.75" customHeight="1">
      <c r="A23" s="17">
        <f>-(('Integrais AI'!D$18*B23^'Integrais AI'!D$17)+('Integrais AI'!E$18*B23^'Integrais AI'!E$17)+('Integrais AI'!F$18*B23^'Integrais AI'!F$17)+('Integrais AI'!G$18*B23^'Integrais AI'!G$17)+('Integrais AI'!H$18*B23^'Integrais AI'!H$17)+('Integrais AI'!I$18*B23^'Integrais AI'!I$17)+('Integrais AI'!J$18*B23^'Integrais AI'!J$17)+('Integrais AI'!K$18*B23^'Integrais AI'!K$17)+('Integrais AI'!M$18))</f>
        <v>-11.45823541</v>
      </c>
      <c r="B23" s="32">
        <f t="shared" si="2"/>
        <v>0.482</v>
      </c>
      <c r="C23" s="42">
        <v>4.0</v>
      </c>
      <c r="L23" s="40">
        <f>(('Integrais AI'!D$40*M23^'Integrais AI'!D$39)+('Integrais AI'!E$40*M23^'Integrais AI'!E$39)+('Integrais AI'!F$40*M23^'Integrais AI'!F$39)+('Integrais AI'!G$40*M23^'Integrais AI'!G$39)+('Integrais AI'!H$40*M23^'Integrais AI'!H$39)+('Integrais AI'!I$40*M23^'Integrais AI'!I$39)+('Integrais AI'!J$40*M23^'Integrais AI'!J$39)+('Integrais AI'!K$40*M23^'Integrais AI'!K$39)+('Integrais AI'!L$40*M23^'Integrais AI'!L$39))</f>
        <v>2.28645542</v>
      </c>
      <c r="M23" s="41">
        <v>0.428</v>
      </c>
      <c r="N23" s="39"/>
      <c r="O23" s="39"/>
      <c r="P23" s="39"/>
      <c r="Q23" s="39"/>
      <c r="R23" s="39"/>
    </row>
    <row r="24" ht="15.75" customHeight="1">
      <c r="A24" s="17">
        <f>-(('Integrais AI'!D$18*B24^'Integrais AI'!D$17)+('Integrais AI'!E$18*B24^'Integrais AI'!E$17)+('Integrais AI'!F$18*B24^'Integrais AI'!F$17)+('Integrais AI'!G$18*B24^'Integrais AI'!G$17)+('Integrais AI'!H$18*B24^'Integrais AI'!H$17)+('Integrais AI'!I$18*B24^'Integrais AI'!I$17)+('Integrais AI'!J$18*B24^'Integrais AI'!J$17)+('Integrais AI'!K$18*B24^'Integrais AI'!K$17)+('Integrais AI'!M$18))</f>
        <v>-7.545120629</v>
      </c>
      <c r="B24" s="32">
        <f t="shared" si="2"/>
        <v>0.6025</v>
      </c>
      <c r="C24" s="42">
        <v>5.0</v>
      </c>
      <c r="L24" s="40">
        <f>(('Integrais AI'!D$40*M24^'Integrais AI'!D$39)+('Integrais AI'!E$40*M24^'Integrais AI'!E$39)+('Integrais AI'!F$40*M24^'Integrais AI'!F$39)+('Integrais AI'!G$40*M24^'Integrais AI'!G$39)+('Integrais AI'!H$40*M24^'Integrais AI'!H$39)+('Integrais AI'!I$40*M24^'Integrais AI'!I$39)+('Integrais AI'!J$40*M24^'Integrais AI'!J$39)+('Integrais AI'!K$40*M24^'Integrais AI'!K$39)+('Integrais AI'!L$40*M24^'Integrais AI'!L$39))</f>
        <v>3.096914098</v>
      </c>
      <c r="M24" s="41">
        <v>0.535</v>
      </c>
      <c r="N24" s="39"/>
      <c r="O24" s="39"/>
      <c r="P24" s="39"/>
      <c r="Q24" s="39"/>
      <c r="R24" s="39"/>
    </row>
    <row r="25" ht="15.75" customHeight="1">
      <c r="A25" s="17">
        <f>-(('Integrais AI'!D$18*B25^'Integrais AI'!D$17)+('Integrais AI'!E$18*B25^'Integrais AI'!E$17)+('Integrais AI'!F$18*B25^'Integrais AI'!F$17)+('Integrais AI'!G$18*B25^'Integrais AI'!G$17)+('Integrais AI'!H$18*B25^'Integrais AI'!H$17)+('Integrais AI'!I$18*B25^'Integrais AI'!I$17)+('Integrais AI'!J$18*B25^'Integrais AI'!J$17)+('Integrais AI'!K$18*B25^'Integrais AI'!K$17)+('Integrais AI'!M$18))</f>
        <v>-4.525960164</v>
      </c>
      <c r="B25" s="32">
        <f t="shared" si="2"/>
        <v>0.723</v>
      </c>
      <c r="C25" s="42">
        <v>6.0</v>
      </c>
      <c r="L25" s="40">
        <f>(('Integrais AI'!D$40*M25^'Integrais AI'!D$39)+('Integrais AI'!E$40*M25^'Integrais AI'!E$39)+('Integrais AI'!F$40*M25^'Integrais AI'!F$39)+('Integrais AI'!G$40*M25^'Integrais AI'!G$39)+('Integrais AI'!H$40*M25^'Integrais AI'!H$39)+('Integrais AI'!I$40*M25^'Integrais AI'!I$39)+('Integrais AI'!J$40*M25^'Integrais AI'!J$39)+('Integrais AI'!K$40*M25^'Integrais AI'!K$39)+('Integrais AI'!L$40*M25^'Integrais AI'!L$39))</f>
        <v>3.746733328</v>
      </c>
      <c r="M25" s="41">
        <v>0.642</v>
      </c>
      <c r="N25" s="39"/>
      <c r="O25" s="39"/>
      <c r="P25" s="39"/>
      <c r="Q25" s="39"/>
      <c r="R25" s="39"/>
    </row>
    <row r="26" ht="15.75" customHeight="1">
      <c r="A26" s="17">
        <f>-(('Integrais AI'!D$18*B26^'Integrais AI'!D$17)+('Integrais AI'!E$18*B26^'Integrais AI'!E$17)+('Integrais AI'!F$18*B26^'Integrais AI'!F$17)+('Integrais AI'!G$18*B26^'Integrais AI'!G$17)+('Integrais AI'!H$18*B26^'Integrais AI'!H$17)+('Integrais AI'!I$18*B26^'Integrais AI'!I$17)+('Integrais AI'!J$18*B26^'Integrais AI'!J$17)+('Integrais AI'!K$18*B26^'Integrais AI'!K$17)+('Integrais AI'!M$18))</f>
        <v>-2.344186782</v>
      </c>
      <c r="B26" s="32">
        <f t="shared" si="2"/>
        <v>0.8435</v>
      </c>
      <c r="C26" s="42">
        <v>7.0</v>
      </c>
      <c r="L26" s="40">
        <f>(('Integrais AI'!D$40*M26^'Integrais AI'!D$39)+('Integrais AI'!E$40*M26^'Integrais AI'!E$39)+('Integrais AI'!F$40*M26^'Integrais AI'!F$39)+('Integrais AI'!G$40*M26^'Integrais AI'!G$39)+('Integrais AI'!H$40*M26^'Integrais AI'!H$39)+('Integrais AI'!I$40*M26^'Integrais AI'!I$39)+('Integrais AI'!J$40*M26^'Integrais AI'!J$39)+('Integrais AI'!K$40*M26^'Integrais AI'!K$39)+('Integrais AI'!L$40*M26^'Integrais AI'!L$39))</f>
        <v>4.100383899</v>
      </c>
      <c r="M26" s="41">
        <v>0.749</v>
      </c>
      <c r="N26" s="39"/>
      <c r="O26" s="39"/>
      <c r="P26" s="39"/>
      <c r="Q26" s="39"/>
      <c r="R26" s="39"/>
    </row>
    <row r="27" ht="15.75" customHeight="1">
      <c r="A27" s="17">
        <f>-(('Integrais AI'!D$18*B27^'Integrais AI'!D$17)+('Integrais AI'!E$18*B27^'Integrais AI'!E$17)+('Integrais AI'!F$18*B27^'Integrais AI'!F$17)+('Integrais AI'!G$18*B27^'Integrais AI'!G$17)+('Integrais AI'!H$18*B27^'Integrais AI'!H$17)+('Integrais AI'!I$18*B27^'Integrais AI'!I$17)+('Integrais AI'!J$18*B27^'Integrais AI'!J$17)+('Integrais AI'!K$18*B27^'Integrais AI'!K$17)+('Integrais AI'!M$18))</f>
        <v>-0.9255738475</v>
      </c>
      <c r="B27" s="32">
        <f t="shared" si="2"/>
        <v>0.964</v>
      </c>
      <c r="C27" s="42">
        <v>8.0</v>
      </c>
      <c r="L27" s="40">
        <f>(('Integrais AI'!D$40*M27^'Integrais AI'!D$39)+('Integrais AI'!E$40*M27^'Integrais AI'!E$39)+('Integrais AI'!F$40*M27^'Integrais AI'!F$39)+('Integrais AI'!G$40*M27^'Integrais AI'!G$39)+('Integrais AI'!H$40*M27^'Integrais AI'!H$39)+('Integrais AI'!I$40*M27^'Integrais AI'!I$39)+('Integrais AI'!J$40*M27^'Integrais AI'!J$39)+('Integrais AI'!K$40*M27^'Integrais AI'!K$39)+('Integrais AI'!L$40*M27^'Integrais AI'!L$39))</f>
        <v>4.028564742</v>
      </c>
      <c r="M27" s="41">
        <v>0.856</v>
      </c>
      <c r="N27" s="39"/>
      <c r="O27" s="39"/>
      <c r="P27" s="39"/>
      <c r="Q27" s="39"/>
      <c r="R27" s="39"/>
    </row>
    <row r="28" ht="15.75" customHeight="1">
      <c r="A28" s="17">
        <f>-(('Integrais AI'!D$18*B28^'Integrais AI'!D$17)+('Integrais AI'!E$18*B28^'Integrais AI'!E$17)+('Integrais AI'!F$18*B28^'Integrais AI'!F$17)+('Integrais AI'!G$18*B28^'Integrais AI'!G$17)+('Integrais AI'!H$18*B28^'Integrais AI'!H$17)+('Integrais AI'!I$18*B28^'Integrais AI'!I$17)+('Integrais AI'!J$18*B28^'Integrais AI'!J$17)+('Integrais AI'!K$18*B28^'Integrais AI'!K$17)+('Integrais AI'!M$18))</f>
        <v>-0.1232353709</v>
      </c>
      <c r="B28" s="32">
        <v>1.105</v>
      </c>
      <c r="C28" s="42">
        <v>9.0</v>
      </c>
      <c r="L28" s="40">
        <f>(('Integrais AI'!D$40*M28^'Integrais AI'!D$39)+('Integrais AI'!E$40*M28^'Integrais AI'!E$39)+('Integrais AI'!F$40*M28^'Integrais AI'!F$39)+('Integrais AI'!G$40*M28^'Integrais AI'!G$39)+('Integrais AI'!H$40*M28^'Integrais AI'!H$39)+('Integrais AI'!I$40*M28^'Integrais AI'!I$39)+('Integrais AI'!J$40*M28^'Integrais AI'!J$39)+('Integrais AI'!K$40*M28^'Integrais AI'!K$39)+('Integrais AI'!L$40*M28^'Integrais AI'!L$39))</f>
        <v>3.42488494</v>
      </c>
      <c r="M28" s="41">
        <v>0.963</v>
      </c>
      <c r="N28" s="39"/>
      <c r="O28" s="39"/>
      <c r="P28" s="39"/>
      <c r="Q28" s="39"/>
      <c r="R28" s="39"/>
    </row>
    <row r="29" ht="15.75" customHeight="1">
      <c r="A29" s="17">
        <f>-(('Integrais AI'!D$18*B29^'Integrais AI'!D$17)+('Integrais AI'!E$18*B29^'Integrais AI'!E$17)+('Integrais AI'!F$18*B29^'Integrais AI'!F$17)+('Integrais AI'!G$18*B29^'Integrais AI'!G$17)+('Integrais AI'!H$18*B29^'Integrais AI'!H$17)+('Integrais AI'!I$18*B29^'Integrais AI'!I$17)+('Integrais AI'!J$18*B29^'Integrais AI'!J$17)+('Integrais AI'!K$18*B29^'Integrais AI'!K$17)+('Integrais AI'!M$18))</f>
        <v>0</v>
      </c>
      <c r="B29" s="32">
        <f>'Integrais AI'!B2</f>
        <v>1.205</v>
      </c>
      <c r="C29" s="42">
        <v>10.0</v>
      </c>
      <c r="L29" s="40">
        <f>(('Integrais AI'!D$40*M29^'Integrais AI'!D$39)+('Integrais AI'!E$40*M29^'Integrais AI'!E$39)+('Integrais AI'!F$40*M29^'Integrais AI'!F$39)+('Integrais AI'!G$40*M29^'Integrais AI'!G$39)+('Integrais AI'!H$40*M29^'Integrais AI'!H$39)+('Integrais AI'!I$40*M29^'Integrais AI'!I$39)+('Integrais AI'!J$40*M29^'Integrais AI'!J$39)+('Integrais AI'!K$40*M29^'Integrais AI'!K$39)+('Integrais AI'!L$40*M29^'Integrais AI'!L$39))</f>
        <v>2.240900142</v>
      </c>
      <c r="M29" s="41">
        <v>1.07</v>
      </c>
      <c r="N29" s="39"/>
      <c r="O29" s="39"/>
      <c r="P29" s="39"/>
      <c r="Q29" s="39"/>
      <c r="R29" s="39"/>
    </row>
    <row r="30" ht="15.75" customHeight="1">
      <c r="A30" s="9"/>
      <c r="L30" s="39"/>
      <c r="M30" s="39"/>
      <c r="N30" s="39"/>
      <c r="O30" s="39"/>
      <c r="P30" s="39"/>
      <c r="Q30" s="39"/>
      <c r="R30" s="39"/>
    </row>
    <row r="31" ht="15.75" customHeight="1">
      <c r="L31" s="39"/>
      <c r="M31" s="39"/>
      <c r="N31" s="39"/>
      <c r="O31" s="39"/>
      <c r="P31" s="39"/>
      <c r="Q31" s="39"/>
      <c r="R31" s="39"/>
    </row>
    <row r="32" ht="15.75" customHeight="1">
      <c r="L32" s="39"/>
      <c r="M32" s="39"/>
      <c r="N32" s="39"/>
      <c r="O32" s="39"/>
      <c r="P32" s="39"/>
      <c r="Q32" s="39"/>
      <c r="R32" s="3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L1:M1"/>
    <mergeCell ref="A17:B17"/>
    <mergeCell ref="L17:M1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5.71"/>
    <col customWidth="1" min="3" max="3" width="10.43"/>
    <col customWidth="1" min="4" max="4" width="15.86"/>
    <col customWidth="1" min="5" max="5" width="8.71"/>
    <col customWidth="1" min="6" max="6" width="13.29"/>
    <col customWidth="1" min="7" max="7" width="13.43"/>
    <col customWidth="1" min="8" max="8" width="11.14"/>
    <col customWidth="1" min="9" max="9" width="12.0"/>
    <col customWidth="1" min="10" max="10" width="7.0"/>
    <col customWidth="1" min="11" max="11" width="12.71"/>
    <col customWidth="1" min="12" max="12" width="14.57"/>
    <col customWidth="1" min="15" max="15" width="9.86"/>
    <col customWidth="1" min="16" max="16" width="12.86"/>
    <col customWidth="1" min="17" max="17" width="9.71"/>
  </cols>
  <sheetData>
    <row r="1">
      <c r="A1" s="7" t="s">
        <v>35</v>
      </c>
      <c r="B1" s="8"/>
      <c r="C1" s="8"/>
      <c r="D1" s="8"/>
      <c r="E1" s="43"/>
      <c r="F1" s="1" t="s">
        <v>36</v>
      </c>
      <c r="G1" s="8"/>
      <c r="H1" s="8"/>
      <c r="I1" s="8"/>
      <c r="K1" s="7" t="s">
        <v>37</v>
      </c>
      <c r="L1" s="8"/>
      <c r="M1" s="8"/>
      <c r="N1" s="8"/>
    </row>
    <row r="2">
      <c r="A2" s="44" t="s">
        <v>38</v>
      </c>
      <c r="B2" s="8"/>
      <c r="C2" s="44" t="s">
        <v>39</v>
      </c>
      <c r="D2" s="2"/>
      <c r="F2" s="44" t="s">
        <v>38</v>
      </c>
      <c r="G2" s="8"/>
      <c r="H2" s="44" t="s">
        <v>39</v>
      </c>
      <c r="I2" s="2"/>
      <c r="J2" s="45"/>
      <c r="K2" s="44" t="s">
        <v>38</v>
      </c>
      <c r="L2" s="8"/>
      <c r="M2" s="44" t="s">
        <v>39</v>
      </c>
      <c r="N2" s="2"/>
      <c r="P2" s="44" t="s">
        <v>38</v>
      </c>
      <c r="Q2" s="8"/>
      <c r="R2" s="44" t="s">
        <v>39</v>
      </c>
      <c r="S2" s="2"/>
    </row>
    <row r="3">
      <c r="A3" s="9" t="s">
        <v>40</v>
      </c>
      <c r="B3" s="46">
        <f>244</f>
        <v>244</v>
      </c>
      <c r="C3" s="9" t="s">
        <v>41</v>
      </c>
      <c r="D3" s="9">
        <f>((3.14159226535897*(D8/2)^2))-((3.14159226535897*(D9/2)^2))</f>
        <v>54.97786464</v>
      </c>
      <c r="F3" s="9" t="s">
        <v>42</v>
      </c>
      <c r="G3" s="1">
        <f>31.33</f>
        <v>31.33</v>
      </c>
      <c r="H3" s="9" t="s">
        <v>41</v>
      </c>
      <c r="I3" s="9">
        <f>I8*I9-I10*I11</f>
        <v>850</v>
      </c>
      <c r="J3" s="45"/>
      <c r="K3" s="47" t="s">
        <v>43</v>
      </c>
      <c r="L3" s="48">
        <v>240.0</v>
      </c>
      <c r="M3" s="9" t="s">
        <v>41</v>
      </c>
      <c r="N3" s="9">
        <f>((3.14159226535897*(N8/2)^2))-((3.14159226535897*(N9/2)^2))</f>
        <v>54.97786464</v>
      </c>
      <c r="P3" s="9" t="s">
        <v>44</v>
      </c>
      <c r="Q3" s="7">
        <v>30.04</v>
      </c>
      <c r="R3" s="9" t="s">
        <v>41</v>
      </c>
      <c r="S3" s="9">
        <f>((S8*(S9-2))-((S8-Q9)*((S9-2)-Q9)))</f>
        <v>196</v>
      </c>
    </row>
    <row r="4">
      <c r="A4" s="9" t="s">
        <v>45</v>
      </c>
      <c r="B4" s="7">
        <v>1.5</v>
      </c>
      <c r="C4" s="9" t="s">
        <v>46</v>
      </c>
      <c r="D4" s="9">
        <f t="shared" ref="D4:D5" si="1">D3*B6</f>
        <v>132496.6538</v>
      </c>
      <c r="F4" s="9" t="s">
        <v>45</v>
      </c>
      <c r="G4" s="1">
        <v>1.5</v>
      </c>
      <c r="H4" s="9" t="s">
        <v>46</v>
      </c>
      <c r="I4" s="9">
        <f>I3*G6</f>
        <v>2048500</v>
      </c>
      <c r="J4" s="43"/>
      <c r="K4" s="47" t="s">
        <v>45</v>
      </c>
      <c r="L4" s="49">
        <v>1.5</v>
      </c>
      <c r="M4" s="9" t="s">
        <v>46</v>
      </c>
      <c r="N4" s="9">
        <f t="shared" ref="N4:N5" si="2">N3*L6</f>
        <v>132496.6538</v>
      </c>
      <c r="P4" s="9" t="s">
        <v>45</v>
      </c>
      <c r="Q4" s="1">
        <v>1.5</v>
      </c>
      <c r="R4" s="9" t="s">
        <v>46</v>
      </c>
      <c r="S4" s="9">
        <f>S3*Q6</f>
        <v>472360</v>
      </c>
    </row>
    <row r="5">
      <c r="A5" s="50" t="s">
        <v>47</v>
      </c>
      <c r="B5" s="46">
        <f>B3/B4</f>
        <v>162.6666667</v>
      </c>
      <c r="C5" s="9" t="s">
        <v>48</v>
      </c>
      <c r="D5" s="47">
        <f t="shared" si="1"/>
        <v>315.342036</v>
      </c>
      <c r="F5" s="50" t="s">
        <v>49</v>
      </c>
      <c r="G5" s="46">
        <f>G3/G4</f>
        <v>20.88666667</v>
      </c>
      <c r="H5" s="9" t="s">
        <v>48</v>
      </c>
      <c r="I5" s="9">
        <f>G7*I4</f>
        <v>286.79</v>
      </c>
      <c r="K5" s="47" t="s">
        <v>50</v>
      </c>
      <c r="L5" s="47">
        <f>L3/L4</f>
        <v>160</v>
      </c>
      <c r="M5" s="9" t="s">
        <v>48</v>
      </c>
      <c r="N5" s="47">
        <f t="shared" si="2"/>
        <v>238.4939768</v>
      </c>
      <c r="P5" s="50" t="s">
        <v>51</v>
      </c>
      <c r="Q5" s="46">
        <f>Q3/Q4</f>
        <v>20.02666667</v>
      </c>
      <c r="R5" s="9" t="s">
        <v>48</v>
      </c>
      <c r="S5" s="9">
        <f>((S8*S9)-((S8-2*Q9)*(S9-2*Q9)))*Q6*Q7</f>
        <v>54.3696</v>
      </c>
    </row>
    <row r="6">
      <c r="A6" s="9" t="s">
        <v>52</v>
      </c>
      <c r="B6" s="7">
        <f>'Integrais AI'!B2*2000</f>
        <v>2410</v>
      </c>
      <c r="C6" s="51" t="s">
        <v>53</v>
      </c>
      <c r="D6" s="3">
        <f>(3.141592654/64)*(D8^4-D9^4)</f>
        <v>2111.493875</v>
      </c>
      <c r="F6" s="9" t="s">
        <v>52</v>
      </c>
      <c r="G6" s="7">
        <f>B6</f>
        <v>2410</v>
      </c>
      <c r="H6" s="51" t="s">
        <v>53</v>
      </c>
      <c r="I6" s="52">
        <f>((I8*I9^3)/12)-(((I10)*((I11)^3)))/12</f>
        <v>369583.3333</v>
      </c>
      <c r="K6" s="47" t="s">
        <v>52</v>
      </c>
      <c r="L6" s="7">
        <f>G6</f>
        <v>2410</v>
      </c>
      <c r="M6" s="51" t="s">
        <v>53</v>
      </c>
      <c r="N6" s="3">
        <f>(3.141592654/64)*(N8^4-N9^4)</f>
        <v>2111.493875</v>
      </c>
      <c r="P6" s="9" t="s">
        <v>52</v>
      </c>
      <c r="Q6" s="7">
        <f>L6</f>
        <v>2410</v>
      </c>
      <c r="R6" s="51" t="s">
        <v>53</v>
      </c>
      <c r="S6" s="52">
        <f>((S8*S9^3)/12)-(((S8-Q9)*((S9-Q9)^3)))/12</f>
        <v>36217</v>
      </c>
    </row>
    <row r="7">
      <c r="A7" s="9" t="s">
        <v>54</v>
      </c>
      <c r="B7" s="1">
        <v>0.00238</v>
      </c>
      <c r="C7" s="44" t="s">
        <v>55</v>
      </c>
      <c r="D7" s="2"/>
      <c r="F7" s="9" t="s">
        <v>54</v>
      </c>
      <c r="G7" s="7">
        <v>1.4E-4</v>
      </c>
      <c r="H7" s="44" t="s">
        <v>55</v>
      </c>
      <c r="I7" s="2"/>
      <c r="K7" s="47" t="s">
        <v>54</v>
      </c>
      <c r="L7" s="53">
        <f>1.8/1000</f>
        <v>0.0018</v>
      </c>
      <c r="M7" s="44" t="s">
        <v>55</v>
      </c>
      <c r="N7" s="2"/>
      <c r="P7" s="9" t="s">
        <v>54</v>
      </c>
      <c r="Q7" s="7">
        <f>0.00006</f>
        <v>0.00006</v>
      </c>
      <c r="R7" s="44" t="s">
        <v>55</v>
      </c>
      <c r="S7" s="2"/>
    </row>
    <row r="8">
      <c r="A8" s="9" t="s">
        <v>56</v>
      </c>
      <c r="B8" s="1">
        <f>-'Integrais AI'!N22*1000</f>
        <v>36406.43162</v>
      </c>
      <c r="C8" s="9" t="s">
        <v>57</v>
      </c>
      <c r="D8" s="54">
        <v>18.5</v>
      </c>
      <c r="F8" s="9" t="s">
        <v>56</v>
      </c>
      <c r="G8" s="1">
        <f>B8</f>
        <v>36406.43162</v>
      </c>
      <c r="H8" s="9" t="s">
        <v>58</v>
      </c>
      <c r="I8" s="32">
        <v>35.0</v>
      </c>
      <c r="K8" s="47" t="s">
        <v>56</v>
      </c>
      <c r="L8" s="47">
        <f>B8</f>
        <v>36406.43162</v>
      </c>
      <c r="M8" s="9" t="s">
        <v>57</v>
      </c>
      <c r="N8" s="32">
        <v>18.5</v>
      </c>
      <c r="P8" s="9" t="s">
        <v>56</v>
      </c>
      <c r="Q8" s="46">
        <f>L8</f>
        <v>36406.43162</v>
      </c>
      <c r="R8" s="9" t="s">
        <v>58</v>
      </c>
      <c r="S8" s="32">
        <v>16.0</v>
      </c>
    </row>
    <row r="9">
      <c r="A9" s="55" t="s">
        <v>59</v>
      </c>
      <c r="B9" s="56">
        <f>'Integrais AI'!N13</f>
        <v>67.56912998</v>
      </c>
      <c r="C9" s="9" t="s">
        <v>60</v>
      </c>
      <c r="D9" s="57">
        <f>D8-B10*2</f>
        <v>16.5</v>
      </c>
      <c r="F9" s="9" t="s">
        <v>61</v>
      </c>
      <c r="G9" s="32">
        <v>5.0</v>
      </c>
      <c r="H9" s="58" t="s">
        <v>62</v>
      </c>
      <c r="I9" s="32">
        <v>60.0</v>
      </c>
      <c r="K9" s="47" t="s">
        <v>59</v>
      </c>
      <c r="L9" s="47">
        <f>'Integrais AI'!N13</f>
        <v>67.56912998</v>
      </c>
      <c r="M9" s="9" t="s">
        <v>60</v>
      </c>
      <c r="N9" s="9">
        <f>N8-L10*2</f>
        <v>16.5</v>
      </c>
      <c r="P9" s="9" t="s">
        <v>61</v>
      </c>
      <c r="Q9" s="32">
        <v>4.0</v>
      </c>
      <c r="R9" s="58" t="s">
        <v>62</v>
      </c>
      <c r="S9" s="32">
        <v>39.0</v>
      </c>
    </row>
    <row r="10">
      <c r="A10" s="9" t="s">
        <v>61</v>
      </c>
      <c r="B10" s="1">
        <v>1.0</v>
      </c>
      <c r="C10" s="9" t="s">
        <v>63</v>
      </c>
      <c r="D10" s="9">
        <f t="shared" ref="D10:D11" si="3">D8/2</f>
        <v>9.25</v>
      </c>
      <c r="F10" s="9" t="s">
        <v>64</v>
      </c>
      <c r="G10" s="59">
        <f>(G8*I9/2)/I6</f>
        <v>2.955200763</v>
      </c>
      <c r="H10" s="32" t="s">
        <v>65</v>
      </c>
      <c r="I10" s="32">
        <f>I8-2*G9</f>
        <v>25</v>
      </c>
      <c r="K10" s="47" t="s">
        <v>61</v>
      </c>
      <c r="L10" s="47">
        <v>1.0</v>
      </c>
      <c r="M10" s="9" t="s">
        <v>63</v>
      </c>
      <c r="N10" s="9">
        <f t="shared" ref="N10:N11" si="4">N8/2</f>
        <v>9.25</v>
      </c>
      <c r="P10" s="9" t="s">
        <v>66</v>
      </c>
      <c r="Q10" s="59">
        <f>(Q8*S9/2)/S6</f>
        <v>19.601994</v>
      </c>
      <c r="R10" s="60" t="s">
        <v>67</v>
      </c>
    </row>
    <row r="11">
      <c r="A11" s="9" t="s">
        <v>68</v>
      </c>
      <c r="B11" s="47">
        <f>(B8*D8/2)/D6</f>
        <v>159.4887375</v>
      </c>
      <c r="C11" s="9" t="s">
        <v>69</v>
      </c>
      <c r="D11" s="9">
        <f t="shared" si="3"/>
        <v>8.25</v>
      </c>
      <c r="E11" s="27"/>
      <c r="F11" s="27"/>
      <c r="H11" s="61" t="s">
        <v>70</v>
      </c>
      <c r="I11" s="32">
        <f>I9-2*G9</f>
        <v>50</v>
      </c>
      <c r="K11" s="47" t="s">
        <v>71</v>
      </c>
      <c r="L11" s="47">
        <f>(L8*N8/2)/N6</f>
        <v>159.4887375</v>
      </c>
      <c r="M11" s="9" t="s">
        <v>69</v>
      </c>
      <c r="N11" s="9">
        <f t="shared" si="4"/>
        <v>8.25</v>
      </c>
      <c r="P11" s="27"/>
      <c r="R11" s="62" t="s">
        <v>46</v>
      </c>
      <c r="S11" s="63">
        <f>S8*Q6*2</f>
        <v>77120</v>
      </c>
    </row>
    <row r="12">
      <c r="A12" s="9" t="s">
        <v>72</v>
      </c>
      <c r="B12" s="47">
        <f>((4*B9)/(3*D3))*((D10^2+D10*D11+D11^2)/(D10^2+D11^2))</f>
        <v>2.452715102</v>
      </c>
      <c r="C12" s="40" t="s">
        <v>73</v>
      </c>
      <c r="D12" s="27"/>
      <c r="E12" s="27"/>
      <c r="F12" s="27"/>
      <c r="H12" s="64"/>
      <c r="K12" s="47" t="s">
        <v>74</v>
      </c>
      <c r="L12" s="47">
        <f>((4*L9)/(3*N3))*((N10^2+N10*N11+N11^2)/(N10^2+N11^2))</f>
        <v>2.452715102</v>
      </c>
      <c r="M12" s="40" t="s">
        <v>75</v>
      </c>
      <c r="N12" s="27"/>
      <c r="P12" s="27"/>
      <c r="R12" s="62" t="s">
        <v>76</v>
      </c>
      <c r="S12" s="63">
        <f>S11*L7</f>
        <v>138.816</v>
      </c>
    </row>
    <row r="13">
      <c r="A13" s="9" t="s">
        <v>77</v>
      </c>
      <c r="B13" s="9">
        <v>125.0</v>
      </c>
      <c r="C13" s="65"/>
      <c r="D13" s="27"/>
      <c r="E13" s="27"/>
      <c r="F13" s="27"/>
      <c r="K13" s="47" t="s">
        <v>78</v>
      </c>
      <c r="L13" s="47">
        <v>125.0</v>
      </c>
      <c r="M13" s="27"/>
      <c r="N13" s="27"/>
    </row>
    <row r="14">
      <c r="A14" s="9" t="s">
        <v>79</v>
      </c>
      <c r="B14" s="47">
        <f>B13/B4</f>
        <v>83.33333333</v>
      </c>
      <c r="C14" s="27"/>
      <c r="D14" s="27"/>
      <c r="E14" s="27"/>
      <c r="F14" s="27"/>
      <c r="K14" s="47" t="s">
        <v>80</v>
      </c>
      <c r="L14" s="47">
        <f>L13/L4</f>
        <v>83.33333333</v>
      </c>
      <c r="M14" s="27"/>
      <c r="N14" s="27"/>
    </row>
    <row r="15">
      <c r="A15" s="27"/>
      <c r="B15" s="27"/>
      <c r="C15" s="27"/>
      <c r="D15" s="27"/>
      <c r="E15" s="27"/>
      <c r="F15" s="27"/>
      <c r="K15" s="27"/>
      <c r="L15" s="27"/>
      <c r="M15" s="27"/>
      <c r="N15" s="27"/>
    </row>
    <row r="16">
      <c r="A16" s="66" t="s">
        <v>81</v>
      </c>
      <c r="B16" s="67"/>
      <c r="C16" s="67"/>
      <c r="D16" s="68"/>
      <c r="E16" s="27"/>
      <c r="F16" s="66" t="s">
        <v>82</v>
      </c>
      <c r="G16" s="67"/>
      <c r="H16" s="67"/>
      <c r="I16" s="68"/>
      <c r="K16" s="66" t="s">
        <v>83</v>
      </c>
      <c r="L16" s="67"/>
      <c r="M16" s="67"/>
      <c r="N16" s="68"/>
      <c r="P16" s="66" t="s">
        <v>84</v>
      </c>
      <c r="Q16" s="67"/>
      <c r="R16" s="67"/>
      <c r="S16" s="68"/>
    </row>
    <row r="17">
      <c r="A17" s="69"/>
      <c r="D17" s="70"/>
      <c r="E17" s="27"/>
      <c r="F17" s="69"/>
      <c r="I17" s="70"/>
      <c r="K17" s="69"/>
      <c r="N17" s="70"/>
      <c r="P17" s="69"/>
      <c r="S17" s="70"/>
    </row>
    <row r="18">
      <c r="A18" s="71"/>
      <c r="B18" s="72"/>
      <c r="C18" s="72"/>
      <c r="D18" s="73"/>
      <c r="E18" s="27"/>
      <c r="F18" s="71"/>
      <c r="G18" s="72"/>
      <c r="H18" s="72"/>
      <c r="I18" s="73"/>
      <c r="K18" s="71"/>
      <c r="L18" s="72"/>
      <c r="M18" s="72"/>
      <c r="N18" s="73"/>
      <c r="P18" s="71"/>
      <c r="Q18" s="72"/>
      <c r="R18" s="72"/>
      <c r="S18" s="73"/>
    </row>
    <row r="19">
      <c r="A19" s="74" t="str">
        <f>IF(B11&lt;B5,"NÃO FALHA","FALHA POR FLEXÃO")</f>
        <v>NÃO FALHA</v>
      </c>
      <c r="B19" s="67"/>
      <c r="C19" s="67"/>
      <c r="D19" s="68"/>
      <c r="E19" s="27"/>
      <c r="F19" s="74" t="str">
        <f>IF(G10&lt;G5,"NÃO FALHA","FALHA POR FLEXÃO")</f>
        <v>NÃO FALHA</v>
      </c>
      <c r="G19" s="67"/>
      <c r="H19" s="67"/>
      <c r="I19" s="68"/>
      <c r="K19" s="74" t="str">
        <f>IF(L11&lt;L5,"NÃO FALHA","FALHA POR FLEXÃO")</f>
        <v>NÃO FALHA</v>
      </c>
      <c r="L19" s="67"/>
      <c r="M19" s="67"/>
      <c r="N19" s="68"/>
      <c r="P19" s="74" t="str">
        <f>IF(Q10&lt;Q5,"NÃO FALHA","FALHA POR FLEXÃO")</f>
        <v>NÃO FALHA</v>
      </c>
      <c r="Q19" s="67"/>
      <c r="R19" s="67"/>
      <c r="S19" s="68"/>
    </row>
    <row r="20">
      <c r="A20" s="71"/>
      <c r="B20" s="72"/>
      <c r="C20" s="72"/>
      <c r="D20" s="73"/>
      <c r="F20" s="71"/>
      <c r="G20" s="72"/>
      <c r="H20" s="72"/>
      <c r="I20" s="73"/>
      <c r="K20" s="71"/>
      <c r="L20" s="72"/>
      <c r="M20" s="72"/>
      <c r="N20" s="73"/>
      <c r="P20" s="71"/>
      <c r="Q20" s="72"/>
      <c r="R20" s="72"/>
      <c r="S20" s="73"/>
    </row>
    <row r="21" ht="15.75" customHeight="1">
      <c r="A21" s="29"/>
      <c r="B21" s="29"/>
      <c r="C21" s="29"/>
      <c r="D21" s="29"/>
      <c r="K21" s="29"/>
      <c r="L21" s="29"/>
      <c r="M21" s="29"/>
      <c r="N21" s="29"/>
    </row>
    <row r="22" ht="15.75" customHeight="1">
      <c r="A22" s="66" t="s">
        <v>85</v>
      </c>
      <c r="B22" s="67"/>
      <c r="C22" s="67"/>
      <c r="D22" s="68"/>
      <c r="K22" s="75" t="s">
        <v>86</v>
      </c>
      <c r="L22" s="67"/>
      <c r="M22" s="67"/>
      <c r="N22" s="68"/>
    </row>
    <row r="23" ht="15.75" customHeight="1">
      <c r="A23" s="69"/>
      <c r="D23" s="70"/>
      <c r="K23" s="69"/>
      <c r="N23" s="70"/>
    </row>
    <row r="24" ht="15.75" customHeight="1">
      <c r="A24" s="71"/>
      <c r="B24" s="72"/>
      <c r="C24" s="72"/>
      <c r="D24" s="73"/>
      <c r="K24" s="71"/>
      <c r="L24" s="72"/>
      <c r="M24" s="72"/>
      <c r="N24" s="73"/>
    </row>
    <row r="25" ht="15.75" customHeight="1">
      <c r="A25" s="74" t="str">
        <f>IF(B12&lt;B14,"NÃO FALHA","FALHA POR CISALHAMENTO")</f>
        <v>NÃO FALHA</v>
      </c>
      <c r="B25" s="67"/>
      <c r="C25" s="67"/>
      <c r="D25" s="68"/>
      <c r="K25" s="74" t="str">
        <f>IF(L12&lt;L14,"NÃO FALHA","FALHA POR CISALHAMENTO")</f>
        <v>NÃO FALHA</v>
      </c>
      <c r="L25" s="67"/>
      <c r="M25" s="67"/>
      <c r="N25" s="68"/>
    </row>
    <row r="26" ht="15.75" customHeight="1">
      <c r="A26" s="71"/>
      <c r="B26" s="72"/>
      <c r="C26" s="72"/>
      <c r="D26" s="73"/>
      <c r="K26" s="71"/>
      <c r="L26" s="72"/>
      <c r="M26" s="72"/>
      <c r="N26" s="73"/>
    </row>
    <row r="27" ht="15.75" customHeight="1"/>
    <row r="28" ht="22.5" customHeight="1">
      <c r="A28" s="76"/>
      <c r="B28" s="76"/>
      <c r="C28" s="76"/>
      <c r="D28" s="76"/>
      <c r="E28" s="77"/>
      <c r="F28" s="29"/>
      <c r="G28" s="29"/>
      <c r="H28" s="29"/>
      <c r="I28" s="29"/>
      <c r="J28" s="78"/>
      <c r="K28" s="76"/>
      <c r="L28" s="76"/>
      <c r="M28" s="76"/>
      <c r="N28" s="76"/>
      <c r="O28" s="78"/>
      <c r="P28" s="79"/>
      <c r="Q28" s="79"/>
      <c r="R28" s="79"/>
      <c r="S28" s="79"/>
    </row>
    <row r="29" ht="22.5" customHeight="1">
      <c r="A29" s="27"/>
      <c r="B29" s="27"/>
      <c r="C29" s="27"/>
      <c r="D29" s="27"/>
      <c r="F29" s="27"/>
      <c r="G29" s="27"/>
      <c r="H29" s="27"/>
      <c r="I29" s="27"/>
      <c r="J29" s="80"/>
      <c r="K29" s="27"/>
      <c r="L29" s="27"/>
      <c r="M29" s="27"/>
      <c r="N29" s="27"/>
      <c r="P29" s="27"/>
      <c r="Q29" s="27"/>
      <c r="R29" s="27"/>
      <c r="S29" s="27"/>
    </row>
    <row r="30" ht="22.5" customHeight="1">
      <c r="A30" s="27"/>
      <c r="B30" s="27"/>
      <c r="C30" s="27"/>
      <c r="D30" s="27"/>
      <c r="F30" s="27"/>
      <c r="G30" s="27"/>
      <c r="H30" s="27"/>
      <c r="I30" s="27"/>
      <c r="J30" s="80"/>
      <c r="K30" s="81"/>
      <c r="L30" s="82"/>
      <c r="M30" s="27"/>
      <c r="N30" s="27"/>
      <c r="P30" s="27"/>
      <c r="Q30" s="65"/>
      <c r="R30" s="27"/>
      <c r="S30" s="27"/>
    </row>
    <row r="31" ht="22.5" customHeight="1">
      <c r="A31" s="27"/>
      <c r="B31" s="27"/>
      <c r="C31" s="27"/>
      <c r="D31" s="27"/>
      <c r="F31" s="27"/>
      <c r="G31" s="27"/>
      <c r="H31" s="27"/>
      <c r="I31" s="27"/>
      <c r="J31" s="28"/>
      <c r="K31" s="81"/>
      <c r="L31" s="81"/>
      <c r="M31" s="27"/>
      <c r="N31" s="27"/>
      <c r="P31" s="27"/>
      <c r="Q31" s="27"/>
      <c r="R31" s="27"/>
      <c r="S31" s="27"/>
    </row>
    <row r="32" ht="22.5" customHeight="1">
      <c r="A32" s="27"/>
      <c r="B32" s="27"/>
      <c r="C32" s="27"/>
      <c r="D32" s="27"/>
      <c r="F32" s="27"/>
      <c r="G32" s="27"/>
      <c r="H32" s="27"/>
      <c r="I32" s="27"/>
      <c r="J32" s="28"/>
      <c r="K32" s="81"/>
      <c r="L32" s="81"/>
      <c r="M32" s="27"/>
      <c r="N32" s="27"/>
      <c r="P32" s="27"/>
      <c r="Q32" s="27"/>
      <c r="R32" s="27"/>
      <c r="S32" s="27"/>
    </row>
    <row r="33" ht="22.5" customHeight="1">
      <c r="A33" s="83"/>
      <c r="B33" s="81"/>
      <c r="C33" s="27"/>
      <c r="D33" s="81"/>
      <c r="F33" s="83"/>
      <c r="G33" s="81"/>
      <c r="H33" s="27"/>
      <c r="I33" s="27"/>
      <c r="K33" s="81"/>
      <c r="L33" s="81"/>
      <c r="M33" s="27"/>
      <c r="N33" s="81"/>
      <c r="P33" s="83"/>
      <c r="Q33" s="81"/>
      <c r="R33" s="27"/>
      <c r="S33" s="27"/>
    </row>
    <row r="34" ht="22.5" customHeight="1">
      <c r="A34" s="27"/>
      <c r="B34" s="84"/>
      <c r="C34" s="65"/>
      <c r="D34" s="28"/>
      <c r="F34" s="27"/>
      <c r="G34" s="84"/>
      <c r="H34" s="65"/>
      <c r="I34" s="85"/>
      <c r="K34" s="81"/>
      <c r="L34" s="86"/>
      <c r="M34" s="65"/>
      <c r="N34" s="28"/>
      <c r="P34" s="27"/>
      <c r="Q34" s="84"/>
      <c r="R34" s="65"/>
      <c r="S34" s="85"/>
    </row>
    <row r="35" ht="22.5" customHeight="1">
      <c r="A35" s="27"/>
      <c r="B35" s="27"/>
      <c r="C35" s="27"/>
      <c r="D35" s="27"/>
      <c r="F35" s="27"/>
      <c r="G35" s="65"/>
      <c r="H35" s="27"/>
      <c r="I35" s="27"/>
      <c r="K35" s="81"/>
      <c r="L35" s="87"/>
      <c r="M35" s="27"/>
      <c r="N35" s="27"/>
      <c r="P35" s="27"/>
      <c r="Q35" s="65"/>
      <c r="R35" s="27"/>
      <c r="S35" s="27"/>
    </row>
    <row r="36" ht="22.5" customHeight="1">
      <c r="A36" s="27"/>
      <c r="B36" s="27"/>
      <c r="C36" s="27"/>
      <c r="D36" s="88"/>
      <c r="F36" s="27"/>
      <c r="G36" s="27"/>
      <c r="H36" s="27"/>
      <c r="I36" s="65"/>
      <c r="K36" s="81"/>
      <c r="L36" s="81"/>
      <c r="M36" s="27"/>
      <c r="N36" s="65"/>
      <c r="P36" s="27"/>
      <c r="Q36" s="27"/>
      <c r="R36" s="27"/>
      <c r="S36" s="65"/>
    </row>
    <row r="37" ht="22.5" customHeight="1">
      <c r="A37" s="27"/>
      <c r="B37" s="81"/>
      <c r="C37" s="27"/>
      <c r="D37" s="65"/>
      <c r="F37" s="27"/>
      <c r="G37" s="27"/>
      <c r="H37" s="27"/>
      <c r="I37" s="65"/>
      <c r="K37" s="81"/>
      <c r="L37" s="81"/>
      <c r="M37" s="27"/>
      <c r="N37" s="27"/>
      <c r="P37" s="27"/>
      <c r="Q37" s="27"/>
      <c r="R37" s="27"/>
      <c r="S37" s="65"/>
    </row>
    <row r="38" ht="22.5" customHeight="1">
      <c r="A38" s="27"/>
      <c r="B38" s="27"/>
      <c r="C38" s="27"/>
      <c r="D38" s="27"/>
      <c r="F38" s="27"/>
      <c r="G38" s="89"/>
      <c r="H38" s="90"/>
      <c r="I38" s="90"/>
      <c r="K38" s="81"/>
      <c r="L38" s="81"/>
      <c r="M38" s="27"/>
      <c r="N38" s="27"/>
      <c r="P38" s="27"/>
      <c r="Q38" s="89"/>
      <c r="R38" s="90"/>
      <c r="S38" s="90"/>
    </row>
    <row r="39" ht="22.5" customHeight="1">
      <c r="A39" s="27"/>
      <c r="B39" s="81"/>
      <c r="C39" s="27"/>
      <c r="D39" s="27"/>
      <c r="E39" s="27"/>
      <c r="F39" s="27"/>
      <c r="H39" s="64"/>
      <c r="K39" s="81"/>
      <c r="L39" s="81"/>
      <c r="M39" s="27"/>
      <c r="N39" s="27"/>
      <c r="P39" s="27"/>
      <c r="R39" s="64"/>
    </row>
    <row r="40" ht="22.5" customHeight="1">
      <c r="A40" s="27"/>
      <c r="B40" s="81"/>
      <c r="C40" s="27"/>
      <c r="D40" s="27"/>
      <c r="E40" s="27"/>
      <c r="F40" s="27"/>
      <c r="H40" s="64"/>
      <c r="K40" s="81"/>
      <c r="L40" s="81"/>
      <c r="M40" s="27"/>
      <c r="N40" s="27"/>
      <c r="P40" s="27"/>
      <c r="R40" s="64"/>
    </row>
    <row r="41" ht="22.5" customHeight="1">
      <c r="A41" s="27"/>
      <c r="B41" s="27"/>
      <c r="C41" s="27"/>
      <c r="D41" s="27"/>
      <c r="E41" s="27"/>
      <c r="F41" s="27"/>
      <c r="K41" s="81"/>
      <c r="L41" s="81"/>
      <c r="M41" s="27"/>
      <c r="N41" s="27"/>
    </row>
    <row r="42" ht="22.5" customHeight="1">
      <c r="A42" s="27"/>
      <c r="B42" s="81"/>
      <c r="C42" s="27"/>
      <c r="D42" s="27"/>
      <c r="E42" s="27"/>
      <c r="F42" s="27"/>
      <c r="K42" s="81"/>
      <c r="L42" s="81"/>
      <c r="M42" s="27"/>
      <c r="N42" s="27"/>
    </row>
    <row r="43" ht="15.75" customHeight="1">
      <c r="A43" s="27"/>
      <c r="B43" s="27"/>
      <c r="C43" s="27"/>
      <c r="D43" s="27"/>
      <c r="E43" s="27"/>
      <c r="F43" s="27"/>
      <c r="K43" s="27"/>
      <c r="L43" s="27"/>
      <c r="M43" s="27"/>
      <c r="N43" s="27"/>
    </row>
    <row r="44" ht="15.75" customHeight="1">
      <c r="A44" s="91"/>
      <c r="B44" s="91"/>
      <c r="C44" s="91"/>
      <c r="D44" s="91"/>
      <c r="E44" s="27"/>
      <c r="F44" s="91"/>
      <c r="G44" s="91"/>
      <c r="H44" s="91"/>
      <c r="I44" s="91"/>
      <c r="K44" s="91"/>
      <c r="L44" s="91"/>
      <c r="M44" s="91"/>
      <c r="N44" s="91"/>
      <c r="P44" s="91"/>
      <c r="Q44" s="91"/>
      <c r="R44" s="91"/>
      <c r="S44" s="91"/>
    </row>
    <row r="45" ht="15.75" customHeight="1">
      <c r="A45" s="91"/>
      <c r="B45" s="91"/>
      <c r="C45" s="91"/>
      <c r="D45" s="91"/>
      <c r="E45" s="27"/>
      <c r="F45" s="91"/>
      <c r="G45" s="91"/>
      <c r="H45" s="91"/>
      <c r="I45" s="91"/>
      <c r="K45" s="91"/>
      <c r="L45" s="91"/>
      <c r="M45" s="91"/>
      <c r="N45" s="91"/>
      <c r="P45" s="91"/>
      <c r="Q45" s="91"/>
      <c r="R45" s="91"/>
      <c r="S45" s="91"/>
    </row>
    <row r="46" ht="15.75" customHeight="1">
      <c r="A46" s="91"/>
      <c r="B46" s="91"/>
      <c r="C46" s="91"/>
      <c r="D46" s="91"/>
      <c r="E46" s="27"/>
      <c r="F46" s="91"/>
      <c r="G46" s="91"/>
      <c r="H46" s="91"/>
      <c r="I46" s="91"/>
      <c r="K46" s="91"/>
      <c r="L46" s="91"/>
      <c r="M46" s="91"/>
      <c r="N46" s="91"/>
      <c r="P46" s="91"/>
      <c r="Q46" s="91"/>
      <c r="R46" s="91"/>
      <c r="S46" s="91"/>
    </row>
    <row r="47" ht="15.75" customHeight="1">
      <c r="A47" s="29"/>
      <c r="B47" s="29"/>
      <c r="C47" s="29"/>
      <c r="D47" s="29"/>
      <c r="E47" s="27"/>
      <c r="F47" s="29"/>
      <c r="G47" s="29"/>
      <c r="H47" s="29"/>
      <c r="I47" s="29"/>
      <c r="K47" s="29"/>
      <c r="L47" s="29"/>
      <c r="M47" s="29"/>
      <c r="N47" s="29"/>
      <c r="P47" s="29"/>
      <c r="Q47" s="29"/>
      <c r="R47" s="29"/>
      <c r="S47" s="29"/>
    </row>
    <row r="48" ht="15.75" customHeight="1">
      <c r="A48" s="29"/>
      <c r="B48" s="29"/>
      <c r="C48" s="29"/>
      <c r="D48" s="29"/>
      <c r="F48" s="29"/>
      <c r="G48" s="29"/>
      <c r="H48" s="29"/>
      <c r="I48" s="29"/>
      <c r="K48" s="29"/>
      <c r="L48" s="29"/>
      <c r="M48" s="29"/>
      <c r="N48" s="29"/>
      <c r="P48" s="29"/>
      <c r="Q48" s="29"/>
      <c r="R48" s="29"/>
      <c r="S48" s="29"/>
    </row>
    <row r="49" ht="15.75" customHeight="1">
      <c r="A49" s="29"/>
      <c r="B49" s="29"/>
      <c r="C49" s="29"/>
      <c r="D49" s="29"/>
      <c r="K49" s="29"/>
      <c r="L49" s="29"/>
      <c r="M49" s="29"/>
      <c r="N49" s="29"/>
    </row>
    <row r="50" ht="15.75" customHeight="1">
      <c r="A50" s="91"/>
      <c r="B50" s="91"/>
      <c r="C50" s="91"/>
      <c r="D50" s="91"/>
      <c r="K50" s="92"/>
      <c r="L50" s="92"/>
      <c r="M50" s="92"/>
      <c r="N50" s="92"/>
    </row>
    <row r="51" ht="15.75" customHeight="1">
      <c r="A51" s="91"/>
      <c r="B51" s="91"/>
      <c r="C51" s="91"/>
      <c r="D51" s="91"/>
      <c r="K51" s="92"/>
      <c r="L51" s="92"/>
      <c r="M51" s="92"/>
      <c r="N51" s="92"/>
    </row>
    <row r="52" ht="15.75" customHeight="1">
      <c r="A52" s="91"/>
      <c r="B52" s="91"/>
      <c r="C52" s="91"/>
      <c r="D52" s="91"/>
      <c r="K52" s="92"/>
      <c r="L52" s="92"/>
      <c r="M52" s="92"/>
      <c r="N52" s="92"/>
    </row>
    <row r="53" ht="15.75" customHeight="1">
      <c r="A53" s="29"/>
      <c r="B53" s="29"/>
      <c r="C53" s="29"/>
      <c r="D53" s="29"/>
      <c r="K53" s="29"/>
      <c r="L53" s="29"/>
      <c r="M53" s="29"/>
      <c r="N53" s="29"/>
    </row>
    <row r="54" ht="15.75" customHeight="1">
      <c r="A54" s="29"/>
      <c r="B54" s="29"/>
      <c r="C54" s="29"/>
      <c r="D54" s="29"/>
      <c r="K54" s="29"/>
      <c r="L54" s="29"/>
      <c r="M54" s="29"/>
      <c r="N54" s="2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mergeCells count="28">
    <mergeCell ref="K2:L2"/>
    <mergeCell ref="M2:N2"/>
    <mergeCell ref="P2:Q2"/>
    <mergeCell ref="R2:S2"/>
    <mergeCell ref="A1:D1"/>
    <mergeCell ref="F1:I1"/>
    <mergeCell ref="K1:N1"/>
    <mergeCell ref="A2:B2"/>
    <mergeCell ref="C2:D2"/>
    <mergeCell ref="F2:G2"/>
    <mergeCell ref="H2:I2"/>
    <mergeCell ref="K16:N18"/>
    <mergeCell ref="P16:S18"/>
    <mergeCell ref="F16:I18"/>
    <mergeCell ref="F19:I20"/>
    <mergeCell ref="A22:D24"/>
    <mergeCell ref="A25:D26"/>
    <mergeCell ref="K19:N20"/>
    <mergeCell ref="P19:S20"/>
    <mergeCell ref="K22:N24"/>
    <mergeCell ref="K25:N26"/>
    <mergeCell ref="C7:D7"/>
    <mergeCell ref="H7:I7"/>
    <mergeCell ref="M7:N7"/>
    <mergeCell ref="R7:S7"/>
    <mergeCell ref="R10:S10"/>
    <mergeCell ref="A16:D18"/>
    <mergeCell ref="A19:D20"/>
  </mergeCells>
  <conditionalFormatting sqref="J4 J31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 J31:J32">
    <cfRule type="expression" dxfId="0" priority="2">
      <formula>$G$4&lt;$G$3</formula>
    </cfRule>
  </conditionalFormatting>
  <conditionalFormatting sqref="A19:D20 K19:N20 A47:D48 K47:N48">
    <cfRule type="cellIs" dxfId="1" priority="3" operator="equal">
      <formula>"FALHA POR FLEXÃO"</formula>
    </cfRule>
  </conditionalFormatting>
  <conditionalFormatting sqref="A19:D20 K19:N20 A47:D48 K47:N48">
    <cfRule type="cellIs" dxfId="2" priority="4" operator="equal">
      <formula>"NÃO FALHA"</formula>
    </cfRule>
  </conditionalFormatting>
  <conditionalFormatting sqref="A19:D20 K19:N20 A47:D48 K47:N48">
    <cfRule type="cellIs" dxfId="3" priority="5" operator="equal">
      <formula>"FALHA POR FLEXÃO"</formula>
    </cfRule>
  </conditionalFormatting>
  <conditionalFormatting sqref="A19:D20 K19:N20 A47:D48 K47:N48">
    <cfRule type="cellIs" dxfId="4" priority="6" operator="equal">
      <formula>"ok"</formula>
    </cfRule>
  </conditionalFormatting>
  <conditionalFormatting sqref="A25:D26 K25:N26 A53:D54 K53:N54">
    <cfRule type="cellIs" dxfId="1" priority="7" operator="equal">
      <formula>"FALHA POR CISALHAMENTO"</formula>
    </cfRule>
  </conditionalFormatting>
  <conditionalFormatting sqref="A25:D26 K25:N26 A53:D54 K53:N54">
    <cfRule type="cellIs" dxfId="2" priority="8" operator="equal">
      <formula>"NÃO FALHA"</formula>
    </cfRule>
  </conditionalFormatting>
  <conditionalFormatting sqref="F19:I20 P19:S20 F47:I48 P47:S48">
    <cfRule type="cellIs" dxfId="1" priority="9" operator="equal">
      <formula>"FALHA POR FLEXÃO"</formula>
    </cfRule>
  </conditionalFormatting>
  <conditionalFormatting sqref="F19:I20 P19:S20 F47:I48 P47:S48">
    <cfRule type="cellIs" dxfId="2" priority="10" operator="equal">
      <formula>"NÃO FALHA"</formula>
    </cfRule>
  </conditionalFormatting>
  <conditionalFormatting sqref="F19:I20 P19:S20 F47:I48 P47:S48">
    <cfRule type="cellIs" dxfId="3" priority="11" operator="equal">
      <formula>"FALHA POR FLEXÃO"</formula>
    </cfRule>
  </conditionalFormatting>
  <conditionalFormatting sqref="F19:I20 P19:S20 F47:I48 P47:S48">
    <cfRule type="cellIs" dxfId="4" priority="12" operator="equal">
      <formula>"ok"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86"/>
  </cols>
  <sheetData>
    <row r="1">
      <c r="A1" s="93" t="s">
        <v>87</v>
      </c>
    </row>
    <row r="2">
      <c r="A2" s="42" t="s">
        <v>88</v>
      </c>
      <c r="B2" s="94">
        <f>'Dimensões e Massa AI'!D5</f>
        <v>315.342036</v>
      </c>
    </row>
    <row r="3">
      <c r="A3" s="42" t="s">
        <v>89</v>
      </c>
      <c r="B3" s="27">
        <f>318.7388718</f>
        <v>318.7388718</v>
      </c>
    </row>
    <row r="4">
      <c r="A4" s="42" t="s">
        <v>90</v>
      </c>
      <c r="B4" s="94">
        <f>'Dimensões e Massa AI'!N5</f>
        <v>238.4939768</v>
      </c>
    </row>
    <row r="5">
      <c r="A5" s="42" t="s">
        <v>91</v>
      </c>
      <c r="B5" s="95">
        <f>107.856</f>
        <v>107.856</v>
      </c>
    </row>
    <row r="6">
      <c r="A6" s="42" t="s">
        <v>92</v>
      </c>
      <c r="B6" s="95">
        <f>'Dimensões e Massa AI'!S12</f>
        <v>138.816</v>
      </c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3" max="3" width="18.57"/>
    <col customWidth="1" min="4" max="4" width="22.29"/>
    <col customWidth="1" min="5" max="6" width="17.57"/>
    <col customWidth="1" min="7" max="7" width="23.14"/>
    <col customWidth="1" min="10" max="10" width="22.43"/>
  </cols>
  <sheetData>
    <row r="1">
      <c r="A1" s="96" t="s">
        <v>93</v>
      </c>
      <c r="B1" s="97"/>
      <c r="C1" s="97"/>
      <c r="D1" s="97"/>
      <c r="E1" s="42"/>
      <c r="F1" s="42"/>
    </row>
    <row r="2">
      <c r="A2" s="42" t="s">
        <v>94</v>
      </c>
      <c r="C2" s="42" t="s">
        <v>95</v>
      </c>
      <c r="E2" s="42"/>
      <c r="F2" s="42"/>
      <c r="G2" s="98" t="s">
        <v>96</v>
      </c>
      <c r="H2" s="99"/>
      <c r="J2" s="98" t="s">
        <v>97</v>
      </c>
      <c r="K2" s="100"/>
    </row>
    <row r="3">
      <c r="A3" s="42" t="s">
        <v>98</v>
      </c>
      <c r="B3" s="42">
        <f t="shared" ref="B3:B4" si="1">D3-2*F3</f>
        <v>25</v>
      </c>
      <c r="C3" s="42" t="s">
        <v>99</v>
      </c>
      <c r="D3" s="42">
        <v>35.0</v>
      </c>
      <c r="E3" s="42" t="s">
        <v>100</v>
      </c>
      <c r="F3" s="42">
        <v>5.0</v>
      </c>
      <c r="G3" s="101" t="s">
        <v>101</v>
      </c>
      <c r="H3" s="2"/>
      <c r="J3" s="101" t="s">
        <v>101</v>
      </c>
      <c r="K3" s="2"/>
    </row>
    <row r="4">
      <c r="A4" s="42" t="s">
        <v>102</v>
      </c>
      <c r="B4" s="42">
        <f t="shared" si="1"/>
        <v>50</v>
      </c>
      <c r="C4" s="42" t="s">
        <v>103</v>
      </c>
      <c r="D4" s="42">
        <v>60.0</v>
      </c>
      <c r="E4" s="42" t="s">
        <v>100</v>
      </c>
      <c r="F4" s="42">
        <v>5.0</v>
      </c>
      <c r="G4" s="102" t="s">
        <v>104</v>
      </c>
      <c r="H4" s="103">
        <f>(H5*H7)/H8</f>
        <v>2.955200763</v>
      </c>
      <c r="J4" s="102" t="s">
        <v>104</v>
      </c>
      <c r="K4" s="103">
        <f>K5*K7/K8</f>
        <v>1.553966178</v>
      </c>
    </row>
    <row r="5">
      <c r="A5" s="42" t="s">
        <v>105</v>
      </c>
      <c r="B5" s="95">
        <f>(B3*B4^3)/12</f>
        <v>260416.6667</v>
      </c>
      <c r="C5" s="42" t="s">
        <v>106</v>
      </c>
      <c r="D5" s="95">
        <f>(D3*D4^3)/12</f>
        <v>630000</v>
      </c>
      <c r="E5" s="42"/>
      <c r="F5" s="42"/>
      <c r="G5" s="102" t="s">
        <v>107</v>
      </c>
      <c r="H5" s="103">
        <f>'Dimensões e Massa AI'!G8</f>
        <v>36406.43162</v>
      </c>
      <c r="J5" s="102" t="s">
        <v>107</v>
      </c>
      <c r="K5" s="103">
        <f>K11*200/2</f>
        <v>19144</v>
      </c>
    </row>
    <row r="6">
      <c r="G6" s="102" t="s">
        <v>108</v>
      </c>
      <c r="H6" s="104">
        <f>'Dimensões e Massa AI'!G5</f>
        <v>20.88666667</v>
      </c>
      <c r="J6" s="102" t="s">
        <v>108</v>
      </c>
      <c r="K6" s="104">
        <f>20.8866666666667</f>
        <v>20.88666667</v>
      </c>
    </row>
    <row r="7">
      <c r="G7" s="102" t="s">
        <v>109</v>
      </c>
      <c r="H7" s="103">
        <f>D4/2</f>
        <v>30</v>
      </c>
      <c r="J7" s="102" t="s">
        <v>109</v>
      </c>
      <c r="K7" s="103">
        <f t="shared" ref="K7:K8" si="2">H7</f>
        <v>30</v>
      </c>
    </row>
    <row r="8">
      <c r="A8" s="42" t="s">
        <v>110</v>
      </c>
      <c r="B8" s="42">
        <f>(D3*D4)-(B3*B4)</f>
        <v>850</v>
      </c>
      <c r="G8" s="102" t="s">
        <v>111</v>
      </c>
      <c r="H8" s="103">
        <f>D5-B5</f>
        <v>369583.3333</v>
      </c>
      <c r="J8" s="102" t="s">
        <v>111</v>
      </c>
      <c r="K8" s="103">
        <f t="shared" si="2"/>
        <v>369583.3333</v>
      </c>
    </row>
    <row r="9">
      <c r="A9" s="42" t="s">
        <v>112</v>
      </c>
      <c r="B9" s="95">
        <f>B8*300</f>
        <v>255000</v>
      </c>
      <c r="G9" s="101" t="s">
        <v>113</v>
      </c>
      <c r="H9" s="2"/>
      <c r="J9" s="101" t="s">
        <v>113</v>
      </c>
      <c r="K9" s="2"/>
    </row>
    <row r="10">
      <c r="A10" s="42" t="s">
        <v>114</v>
      </c>
      <c r="B10" s="95">
        <f>'Dimensões e Massa AI'!G7*B9</f>
        <v>35.7</v>
      </c>
      <c r="G10" s="105" t="s">
        <v>115</v>
      </c>
      <c r="H10" s="103">
        <f>(H11*H12)/(H13*H14)</f>
        <v>0.7378795858</v>
      </c>
      <c r="J10" s="105" t="s">
        <v>115</v>
      </c>
      <c r="K10" s="103">
        <f>(K11*K12)/(K13*K14)</f>
        <v>0.4111535513</v>
      </c>
    </row>
    <row r="11">
      <c r="D11" s="42" t="s">
        <v>115</v>
      </c>
      <c r="E11" s="64">
        <v>1.13</v>
      </c>
      <c r="F11" s="64"/>
      <c r="G11" s="105" t="s">
        <v>116</v>
      </c>
      <c r="H11" s="103">
        <f>B20+(+'Integrais AI'!N13)</f>
        <v>343.56913</v>
      </c>
      <c r="J11" s="105" t="s">
        <v>116</v>
      </c>
      <c r="K11" s="106">
        <f>B21</f>
        <v>191.44</v>
      </c>
    </row>
    <row r="12">
      <c r="A12" s="42" t="s">
        <v>117</v>
      </c>
      <c r="D12" s="42" t="s">
        <v>118</v>
      </c>
      <c r="E12" s="1">
        <f>31.33</f>
        <v>31.33</v>
      </c>
      <c r="F12" s="1"/>
      <c r="G12" s="105" t="s">
        <v>119</v>
      </c>
      <c r="H12" s="103">
        <f>B15</f>
        <v>7937.5</v>
      </c>
      <c r="J12" s="105" t="s">
        <v>119</v>
      </c>
      <c r="K12" s="103">
        <f>H12</f>
        <v>7937.5</v>
      </c>
    </row>
    <row r="13">
      <c r="A13" s="42" t="s">
        <v>120</v>
      </c>
      <c r="B13" s="95">
        <f>(B3*B4^2)/8</f>
        <v>7812.5</v>
      </c>
      <c r="G13" s="105" t="s">
        <v>121</v>
      </c>
      <c r="H13" s="103">
        <f>H8</f>
        <v>369583.3333</v>
      </c>
      <c r="J13" s="105" t="s">
        <v>121</v>
      </c>
      <c r="K13" s="103">
        <f>H8</f>
        <v>369583.3333</v>
      </c>
    </row>
    <row r="14">
      <c r="A14" s="42" t="s">
        <v>122</v>
      </c>
      <c r="B14" s="95">
        <f>(D3*D4^2)/8</f>
        <v>15750</v>
      </c>
      <c r="G14" s="105" t="s">
        <v>123</v>
      </c>
      <c r="H14" s="103">
        <f>D3-B3</f>
        <v>10</v>
      </c>
      <c r="J14" s="105" t="s">
        <v>123</v>
      </c>
      <c r="K14" s="103">
        <f>H14</f>
        <v>10</v>
      </c>
    </row>
    <row r="15">
      <c r="A15" s="42" t="s">
        <v>119</v>
      </c>
      <c r="B15" s="95">
        <f>B14-B13</f>
        <v>7937.5</v>
      </c>
      <c r="G15" s="105" t="s">
        <v>108</v>
      </c>
      <c r="H15" s="107">
        <f>E11/1.5</f>
        <v>0.7533333333</v>
      </c>
      <c r="J15" s="105" t="s">
        <v>108</v>
      </c>
      <c r="K15" s="107">
        <f>E11/1.5</f>
        <v>0.7533333333</v>
      </c>
    </row>
    <row r="16">
      <c r="E16" s="95">
        <f>(H15*1.5)/H10</f>
        <v>1.531415182</v>
      </c>
    </row>
    <row r="17">
      <c r="A17" s="42" t="s">
        <v>124</v>
      </c>
    </row>
    <row r="18">
      <c r="A18" s="42" t="s">
        <v>125</v>
      </c>
      <c r="B18" s="42">
        <v>300.0</v>
      </c>
      <c r="G18" s="101" t="s">
        <v>113</v>
      </c>
      <c r="H18" s="2"/>
      <c r="J18" s="101" t="s">
        <v>113</v>
      </c>
      <c r="K18" s="2"/>
    </row>
    <row r="19">
      <c r="A19" s="42" t="s">
        <v>126</v>
      </c>
      <c r="B19" s="42">
        <v>10.0</v>
      </c>
      <c r="G19" s="105" t="s">
        <v>115</v>
      </c>
      <c r="H19" s="103">
        <f>(H20*H21)/(H22*H23)</f>
        <v>1.410643134</v>
      </c>
      <c r="J19" s="105" t="s">
        <v>115</v>
      </c>
      <c r="K19" s="103">
        <f>(K20*K21)/(K22*K23)</f>
        <v>1.919238281</v>
      </c>
    </row>
    <row r="20">
      <c r="A20" s="42" t="s">
        <v>127</v>
      </c>
      <c r="B20" s="95">
        <f>12*B19*2.3</f>
        <v>276</v>
      </c>
      <c r="E20" s="95">
        <f>(17*62-15*60)*400*0.00248</f>
        <v>152.768</v>
      </c>
      <c r="G20" s="105" t="s">
        <v>116</v>
      </c>
      <c r="H20" s="103">
        <f>H11</f>
        <v>343.56913</v>
      </c>
      <c r="J20" s="105" t="s">
        <v>116</v>
      </c>
      <c r="K20" s="106">
        <f>K11+276</f>
        <v>467.44</v>
      </c>
    </row>
    <row r="21">
      <c r="A21" s="42" t="s">
        <v>128</v>
      </c>
      <c r="B21" s="42">
        <f>191.44</f>
        <v>191.44</v>
      </c>
      <c r="G21" s="105" t="s">
        <v>119</v>
      </c>
      <c r="H21" s="103">
        <f>(19*64^2-15*60^2)/8</f>
        <v>2978</v>
      </c>
      <c r="J21" s="105" t="s">
        <v>119</v>
      </c>
      <c r="K21" s="103">
        <f t="shared" ref="K21:K23" si="3">H21</f>
        <v>2978</v>
      </c>
    </row>
    <row r="22">
      <c r="G22" s="105" t="s">
        <v>121</v>
      </c>
      <c r="H22" s="103">
        <f>(19*64^3-15*60^3)/12</f>
        <v>145061.3333</v>
      </c>
      <c r="J22" s="105" t="s">
        <v>121</v>
      </c>
      <c r="K22" s="103">
        <f t="shared" si="3"/>
        <v>145061.3333</v>
      </c>
    </row>
    <row r="23">
      <c r="G23" s="105" t="s">
        <v>123</v>
      </c>
      <c r="H23" s="106">
        <v>5.0</v>
      </c>
      <c r="J23" s="105" t="s">
        <v>123</v>
      </c>
      <c r="K23" s="103">
        <f t="shared" si="3"/>
        <v>5</v>
      </c>
    </row>
    <row r="24">
      <c r="G24" s="105" t="s">
        <v>108</v>
      </c>
      <c r="H24" s="107">
        <f>E20/1.5</f>
        <v>101.8453333</v>
      </c>
      <c r="J24" s="105" t="s">
        <v>108</v>
      </c>
      <c r="K24" s="107">
        <f>E20/1.5</f>
        <v>101.8453333</v>
      </c>
    </row>
  </sheetData>
  <mergeCells count="7">
    <mergeCell ref="A2:B2"/>
    <mergeCell ref="G3:H3"/>
    <mergeCell ref="J3:K3"/>
    <mergeCell ref="G9:H9"/>
    <mergeCell ref="J9:K9"/>
    <mergeCell ref="G18:H18"/>
    <mergeCell ref="J18:K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9.43"/>
    <col customWidth="1" min="8" max="8" width="0.43"/>
    <col customWidth="1" min="13" max="13" width="0.43"/>
  </cols>
  <sheetData>
    <row r="1">
      <c r="D1" s="42" t="s">
        <v>129</v>
      </c>
      <c r="E1" s="42">
        <v>25.0</v>
      </c>
      <c r="F1" s="42" t="s">
        <v>123</v>
      </c>
      <c r="G1" s="42">
        <v>5.0</v>
      </c>
      <c r="I1" s="42" t="s">
        <v>130</v>
      </c>
      <c r="J1" s="42">
        <v>2.5</v>
      </c>
    </row>
    <row r="2">
      <c r="A2" s="42" t="s">
        <v>131</v>
      </c>
      <c r="B2" s="42">
        <v>25.0</v>
      </c>
      <c r="C2" s="42" t="s">
        <v>132</v>
      </c>
      <c r="D2" s="95">
        <f>B2-5</f>
        <v>20</v>
      </c>
    </row>
    <row r="3">
      <c r="A3" s="42" t="s">
        <v>133</v>
      </c>
      <c r="B3" s="95">
        <f>'Dimensões e Massa da Balsa'!D4</f>
        <v>60</v>
      </c>
      <c r="C3" s="42" t="s">
        <v>134</v>
      </c>
      <c r="D3" s="42">
        <f>'Dimensões e Massa da Balsa'!B4</f>
        <v>50</v>
      </c>
    </row>
    <row r="11">
      <c r="A11" s="108" t="s">
        <v>28</v>
      </c>
      <c r="B11" s="2"/>
      <c r="D11" s="42" t="s">
        <v>135</v>
      </c>
      <c r="E11" s="109">
        <f>'Dimensões e Massa da Balsa'!K15</f>
        <v>0.7533333333</v>
      </c>
      <c r="F11" s="110" t="s">
        <v>32</v>
      </c>
      <c r="G11" s="2"/>
      <c r="I11" s="42" t="s">
        <v>136</v>
      </c>
      <c r="J11" s="94">
        <f>'Dimensões e Massa da Balsa'!K6</f>
        <v>20.88666667</v>
      </c>
    </row>
    <row r="12">
      <c r="A12" s="111" t="s">
        <v>8</v>
      </c>
      <c r="B12" s="111" t="s">
        <v>30</v>
      </c>
      <c r="D12" s="42" t="s">
        <v>137</v>
      </c>
      <c r="E12" s="42" t="s">
        <v>138</v>
      </c>
      <c r="F12" s="111" t="s">
        <v>15</v>
      </c>
      <c r="G12" s="111" t="s">
        <v>30</v>
      </c>
      <c r="I12" s="42" t="s">
        <v>136</v>
      </c>
      <c r="J12" s="42" t="s">
        <v>139</v>
      </c>
      <c r="K12" s="42" t="s">
        <v>140</v>
      </c>
      <c r="L12" s="42" t="s">
        <v>141</v>
      </c>
      <c r="M12" s="42" t="s">
        <v>142</v>
      </c>
      <c r="N12" s="42" t="s">
        <v>143</v>
      </c>
      <c r="O12" s="42" t="s">
        <v>144</v>
      </c>
    </row>
    <row r="13">
      <c r="A13" s="9">
        <f>-(('Integrais AI'!D$11*B13^'Integrais AI'!D$10)+('Integrais AI'!E$11*B13^'Integrais AI'!E$10)+('Integrais AI'!F$11*B13^'Integrais AI'!F$10)+('Integrais AI'!G$11*B13^'Integrais AI'!G$10)+('Integrais AI'!H$11*B13^'Integrais AI'!H$10)+('Integrais AI'!I$11*B13^'Integrais AI'!I$10)+('Integrais AI'!J$11*B13^'Integrais AI'!J$10)+('Integrais AI'!L$11))</f>
        <v>67.56912998</v>
      </c>
      <c r="B13" s="63">
        <v>0.0</v>
      </c>
      <c r="C13" s="42">
        <v>0.0</v>
      </c>
      <c r="D13" s="42">
        <f t="shared" ref="D13:D23" si="1">(A13*E13)/($J$13*$G$1)</f>
        <v>0.2795963999</v>
      </c>
      <c r="E13" s="112">
        <f>(B$2*K13^2-($D$2)*(L13)^2)/8</f>
        <v>5000</v>
      </c>
      <c r="F13" s="9">
        <f>(('Integrais AI'!D$18*G13^'Integrais AI'!D$17)+('Integrais AI'!E$18*G13^'Integrais AI'!E$17)+('Integrais AI'!F$18*G13^'Integrais AI'!F$17)+('Integrais AI'!G$18*G13^'Integrais AI'!G$17)+('Integrais AI'!H$18*G13^'Integrais AI'!H$17)+('Integrais AI'!I$18*G13^'Integrais AI'!I$17)+('Integrais AI'!J$18*G13^'Integrais AI'!J$17)+('Integrais AI'!K$18*G13^'Integrais AI'!K$17)+('Integrais AI'!M$18))</f>
        <v>36.40643162</v>
      </c>
      <c r="G13" s="113">
        <v>0.0</v>
      </c>
      <c r="I13" s="95">
        <f t="shared" ref="I13:I23" si="2">F13*M13/$J13*1000</f>
        <v>4.519419098</v>
      </c>
      <c r="J13" s="112">
        <f>($B$2*K13^3-($D$2)*(L13)^3)/12</f>
        <v>241666.6667</v>
      </c>
      <c r="K13" s="114">
        <v>60.0</v>
      </c>
      <c r="L13" s="114">
        <f t="shared" ref="L13:L21" si="3">K13-P13*2</f>
        <v>50</v>
      </c>
      <c r="M13" s="115">
        <f t="shared" ref="M13:M21" si="4">K13/2</f>
        <v>30</v>
      </c>
      <c r="N13" s="114">
        <v>35.0</v>
      </c>
      <c r="O13" s="114">
        <f t="shared" ref="O13:O21" si="5">N13-P13*2</f>
        <v>25</v>
      </c>
      <c r="P13" s="114">
        <v>5.0</v>
      </c>
      <c r="Q13" s="42">
        <v>0.15</v>
      </c>
    </row>
    <row r="14">
      <c r="A14" s="9">
        <f>-(('Integrais AI'!D$11*B14^'Integrais AI'!D$10)+('Integrais AI'!E$11*B14^'Integrais AI'!E$10)+('Integrais AI'!F$11*B14^'Integrais AI'!F$10)+('Integrais AI'!G$11*B14^'Integrais AI'!G$10)+('Integrais AI'!H$11*B14^'Integrais AI'!H$10)+('Integrais AI'!I$11*B14^'Integrais AI'!I$10)+('Integrais AI'!J$11*B14^'Integrais AI'!J$10)+('Integrais AI'!L$11))</f>
        <v>57.57863194</v>
      </c>
      <c r="B14" s="116">
        <v>0.15</v>
      </c>
      <c r="C14" s="42">
        <v>1.0</v>
      </c>
      <c r="D14" s="42">
        <f t="shared" si="1"/>
        <v>0.1310410244</v>
      </c>
      <c r="E14" s="112">
        <f>(N14*K14^2-(O14)*(L14)^2)/8</f>
        <v>2750</v>
      </c>
      <c r="F14" s="9">
        <f>(('Integrais AI'!D$18*G14^'Integrais AI'!D$17)+('Integrais AI'!E$18*G14^'Integrais AI'!E$17)+('Integrais AI'!F$18*G14^'Integrais AI'!F$17)+('Integrais AI'!G$18*G14^'Integrais AI'!G$17)+('Integrais AI'!H$18*G14^'Integrais AI'!H$17)+('Integrais AI'!I$18*G14^'Integrais AI'!I$17)+('Integrais AI'!J$18*G14^'Integrais AI'!J$17)+('Integrais AI'!K$18*G14^'Integrais AI'!K$17)+('Integrais AI'!M$18))</f>
        <v>26.35164469</v>
      </c>
      <c r="G14" s="117">
        <f>0.15+0.0117</f>
        <v>0.1617</v>
      </c>
      <c r="H14" s="42">
        <v>1.0</v>
      </c>
      <c r="I14" s="95">
        <f t="shared" si="2"/>
        <v>6.069476703</v>
      </c>
      <c r="J14" s="112">
        <f t="shared" ref="J14:J23" si="6">(N14*K14^3-(O14)*(L14)^3)/12</f>
        <v>108541.6667</v>
      </c>
      <c r="K14" s="114">
        <f t="shared" ref="K14:K17" si="7">L13</f>
        <v>50</v>
      </c>
      <c r="L14" s="114">
        <f t="shared" si="3"/>
        <v>45</v>
      </c>
      <c r="M14" s="115">
        <f t="shared" si="4"/>
        <v>25</v>
      </c>
      <c r="N14" s="114">
        <f t="shared" ref="N14:N17" si="8">O13</f>
        <v>25</v>
      </c>
      <c r="O14" s="114">
        <f t="shared" si="5"/>
        <v>20</v>
      </c>
      <c r="P14" s="114">
        <v>2.5</v>
      </c>
    </row>
    <row r="15">
      <c r="A15" s="9">
        <f>-(('Integrais AI'!D$11*B15^'Integrais AI'!D$10)+('Integrais AI'!E$11*B15^'Integrais AI'!E$10)+('Integrais AI'!F$11*B15^'Integrais AI'!F$10)+('Integrais AI'!G$11*B15^'Integrais AI'!G$10)+('Integrais AI'!H$11*B15^'Integrais AI'!H$10)+('Integrais AI'!I$11*B15^'Integrais AI'!I$10)+('Integrais AI'!J$11*B15^'Integrais AI'!J$10)+('Integrais AI'!L$11))</f>
        <v>47.87580174</v>
      </c>
      <c r="B15" s="116">
        <v>0.3</v>
      </c>
      <c r="C15" s="42">
        <v>2.0</v>
      </c>
      <c r="D15" s="42">
        <f t="shared" si="1"/>
        <v>0.09224346283</v>
      </c>
      <c r="E15" s="112">
        <f t="shared" ref="E15:E23" si="9">(B$2*K15^2-($D$2)*(L15)^2)/8</f>
        <v>2328.125</v>
      </c>
      <c r="F15" s="9">
        <f>(('Integrais AI'!D$18*G15^'Integrais AI'!D$17)+('Integrais AI'!E$18*G15^'Integrais AI'!E$17)+('Integrais AI'!F$18*G15^'Integrais AI'!F$17)+('Integrais AI'!G$18*G15^'Integrais AI'!G$17)+('Integrais AI'!H$18*G15^'Integrais AI'!H$17)+('Integrais AI'!I$18*G15^'Integrais AI'!I$17)+('Integrais AI'!J$18*G15^'Integrais AI'!J$17)+('Integrais AI'!K$18*G15^'Integrais AI'!K$17)+('Integrais AI'!M$18))</f>
        <v>19.11552647</v>
      </c>
      <c r="G15" s="116">
        <v>0.3</v>
      </c>
      <c r="H15" s="42">
        <v>2.0</v>
      </c>
      <c r="I15" s="95">
        <f t="shared" si="2"/>
        <v>5.983990894</v>
      </c>
      <c r="J15" s="112">
        <f t="shared" si="6"/>
        <v>71875</v>
      </c>
      <c r="K15" s="42">
        <f t="shared" si="7"/>
        <v>45</v>
      </c>
      <c r="L15" s="42">
        <f t="shared" si="3"/>
        <v>40</v>
      </c>
      <c r="M15" s="95">
        <f t="shared" si="4"/>
        <v>22.5</v>
      </c>
      <c r="N15" s="42">
        <f t="shared" si="8"/>
        <v>20</v>
      </c>
      <c r="O15" s="42">
        <f t="shared" si="5"/>
        <v>15</v>
      </c>
      <c r="P15" s="42">
        <v>2.5</v>
      </c>
    </row>
    <row r="16">
      <c r="A16" s="9">
        <f>-(('Integrais AI'!D$11*B16^'Integrais AI'!D$10)+('Integrais AI'!E$11*B16^'Integrais AI'!E$10)+('Integrais AI'!F$11*B16^'Integrais AI'!F$10)+('Integrais AI'!G$11*B16^'Integrais AI'!G$10)+('Integrais AI'!H$11*B16^'Integrais AI'!H$10)+('Integrais AI'!I$11*B16^'Integrais AI'!I$10)+('Integrais AI'!J$11*B16^'Integrais AI'!J$10)+('Integrais AI'!L$11))</f>
        <v>41.49840556</v>
      </c>
      <c r="B16" s="116">
        <v>0.4</v>
      </c>
      <c r="C16" s="42">
        <v>3.0</v>
      </c>
      <c r="D16" s="42">
        <f t="shared" si="1"/>
        <v>0.09444464714</v>
      </c>
      <c r="E16" s="112">
        <f t="shared" si="9"/>
        <v>2750</v>
      </c>
      <c r="F16" s="9">
        <f>(('Integrais AI'!D$18*G16^'Integrais AI'!D$17)+('Integrais AI'!E$18*G16^'Integrais AI'!E$17)+('Integrais AI'!F$18*G16^'Integrais AI'!F$17)+('Integrais AI'!G$18*G16^'Integrais AI'!G$17)+('Integrais AI'!H$18*G16^'Integrais AI'!H$17)+('Integrais AI'!I$18*G16^'Integrais AI'!I$17)+('Integrais AI'!J$18*G16^'Integrais AI'!J$17)+('Integrais AI'!K$18*G16^'Integrais AI'!K$17)+('Integrais AI'!M$18))</f>
        <v>13.82970424</v>
      </c>
      <c r="G16" s="116">
        <v>0.42</v>
      </c>
      <c r="H16" s="42">
        <v>3.0</v>
      </c>
      <c r="I16" s="95">
        <f t="shared" si="2"/>
        <v>4.023186688</v>
      </c>
      <c r="J16" s="112">
        <f t="shared" si="6"/>
        <v>68750</v>
      </c>
      <c r="K16" s="42">
        <f t="shared" si="7"/>
        <v>40</v>
      </c>
      <c r="L16" s="42">
        <f t="shared" si="3"/>
        <v>30</v>
      </c>
      <c r="M16" s="95">
        <f t="shared" si="4"/>
        <v>20</v>
      </c>
      <c r="N16" s="42">
        <f t="shared" si="8"/>
        <v>15</v>
      </c>
      <c r="O16" s="42">
        <f t="shared" si="5"/>
        <v>5</v>
      </c>
      <c r="P16" s="42">
        <v>5.0</v>
      </c>
    </row>
    <row r="17">
      <c r="A17" s="9">
        <f>-(('Integrais AI'!D$11*B17^'Integrais AI'!D$10)+('Integrais AI'!E$11*B17^'Integrais AI'!E$10)+('Integrais AI'!F$11*B17^'Integrais AI'!F$10)+('Integrais AI'!G$11*B17^'Integrais AI'!G$10)+('Integrais AI'!H$11*B17^'Integrais AI'!H$10)+('Integrais AI'!I$11*B17^'Integrais AI'!I$10)+('Integrais AI'!J$11*B17^'Integrais AI'!J$10)+('Integrais AI'!L$11))</f>
        <v>35.13473637</v>
      </c>
      <c r="B17" s="116">
        <v>0.5</v>
      </c>
      <c r="C17" s="42">
        <v>4.0</v>
      </c>
      <c r="D17" s="42">
        <f t="shared" si="1"/>
        <v>0.03634627901</v>
      </c>
      <c r="E17" s="112">
        <f t="shared" si="9"/>
        <v>1250</v>
      </c>
      <c r="F17" s="9">
        <f>(('Integrais AI'!D$18*G17^'Integrais AI'!D$17)+('Integrais AI'!E$18*G17^'Integrais AI'!E$17)+('Integrais AI'!F$18*G17^'Integrais AI'!F$17)+('Integrais AI'!G$18*G17^'Integrais AI'!G$17)+('Integrais AI'!H$18*G17^'Integrais AI'!H$17)+('Integrais AI'!I$18*G17^'Integrais AI'!I$17)+('Integrais AI'!J$18*G17^'Integrais AI'!J$17)+('Integrais AI'!K$18*G17^'Integrais AI'!K$17)+('Integrais AI'!M$18))</f>
        <v>10.81553158</v>
      </c>
      <c r="G17" s="116">
        <v>0.5</v>
      </c>
      <c r="H17" s="42">
        <v>4.0</v>
      </c>
      <c r="I17" s="95">
        <f t="shared" si="2"/>
        <v>14.42070877</v>
      </c>
      <c r="J17" s="112">
        <f t="shared" si="6"/>
        <v>11250</v>
      </c>
      <c r="K17" s="42">
        <f t="shared" si="7"/>
        <v>30</v>
      </c>
      <c r="L17" s="42">
        <f t="shared" si="3"/>
        <v>25</v>
      </c>
      <c r="M17" s="95">
        <f t="shared" si="4"/>
        <v>15</v>
      </c>
      <c r="N17" s="42">
        <f t="shared" si="8"/>
        <v>5</v>
      </c>
      <c r="O17" s="42">
        <f t="shared" si="5"/>
        <v>0</v>
      </c>
      <c r="P17" s="42">
        <v>2.5</v>
      </c>
    </row>
    <row r="18">
      <c r="A18" s="9">
        <f>-(('Integrais AI'!D$11*B18^'Integrais AI'!D$10)+('Integrais AI'!E$11*B18^'Integrais AI'!E$10)+('Integrais AI'!F$11*B18^'Integrais AI'!F$10)+('Integrais AI'!G$11*B18^'Integrais AI'!G$10)+('Integrais AI'!H$11*B18^'Integrais AI'!H$10)+('Integrais AI'!I$11*B18^'Integrais AI'!I$10)+('Integrais AI'!J$11*B18^'Integrais AI'!J$10)+('Integrais AI'!L$11))</f>
        <v>28.86061168</v>
      </c>
      <c r="B18" s="116">
        <v>0.6</v>
      </c>
      <c r="C18" s="42">
        <v>5.0</v>
      </c>
      <c r="D18" s="42">
        <f t="shared" si="1"/>
        <v>0.01050924342</v>
      </c>
      <c r="E18" s="112">
        <f t="shared" si="9"/>
        <v>440</v>
      </c>
      <c r="F18" s="9">
        <f>(('Integrais AI'!D$18*G18^'Integrais AI'!D$17)+('Integrais AI'!E$18*G18^'Integrais AI'!E$17)+('Integrais AI'!F$18*G18^'Integrais AI'!F$17)+('Integrais AI'!G$18*G18^'Integrais AI'!G$17)+('Integrais AI'!H$18*G18^'Integrais AI'!H$17)+('Integrais AI'!I$18*G18^'Integrais AI'!I$17)+('Integrais AI'!J$18*G18^'Integrais AI'!J$17)+('Integrais AI'!K$18*G18^'Integrais AI'!K$17)+('Integrais AI'!M$18))</f>
        <v>7.617079038</v>
      </c>
      <c r="G18" s="116">
        <v>0.6</v>
      </c>
      <c r="H18" s="42">
        <v>5.0</v>
      </c>
      <c r="I18" s="95">
        <f t="shared" si="2"/>
        <v>20.68734122</v>
      </c>
      <c r="J18" s="112">
        <f t="shared" si="6"/>
        <v>3682</v>
      </c>
      <c r="K18" s="42">
        <v>20.0</v>
      </c>
      <c r="L18" s="42">
        <f t="shared" si="3"/>
        <v>18</v>
      </c>
      <c r="M18" s="95">
        <f t="shared" si="4"/>
        <v>10</v>
      </c>
      <c r="N18" s="42">
        <v>15.0</v>
      </c>
      <c r="O18" s="42">
        <f t="shared" si="5"/>
        <v>13</v>
      </c>
      <c r="P18" s="42">
        <v>1.0</v>
      </c>
    </row>
    <row r="19">
      <c r="A19" s="9">
        <f>-(('Integrais AI'!D$11*B19^'Integrais AI'!D$10)+('Integrais AI'!E$11*B19^'Integrais AI'!E$10)+('Integrais AI'!F$11*B19^'Integrais AI'!F$10)+('Integrais AI'!G$11*B19^'Integrais AI'!G$10)+('Integrais AI'!H$11*B19^'Integrais AI'!H$10)+('Integrais AI'!I$11*B19^'Integrais AI'!I$10)+('Integrais AI'!J$11*B19^'Integrais AI'!J$10)+('Integrais AI'!L$11))</f>
        <v>22.82407337</v>
      </c>
      <c r="B19" s="116">
        <v>0.7</v>
      </c>
      <c r="C19" s="42">
        <v>6.0</v>
      </c>
      <c r="D19" s="42">
        <f t="shared" si="1"/>
        <v>0.003777777661</v>
      </c>
      <c r="E19" s="112">
        <f t="shared" si="9"/>
        <v>200</v>
      </c>
      <c r="F19" s="9">
        <f>(('Integrais AI'!D$18*G19^'Integrais AI'!D$17)+('Integrais AI'!E$18*G19^'Integrais AI'!E$17)+('Integrais AI'!F$18*G19^'Integrais AI'!F$17)+('Integrais AI'!G$18*G19^'Integrais AI'!G$17)+('Integrais AI'!H$18*G19^'Integrais AI'!H$17)+('Integrais AI'!I$18*G19^'Integrais AI'!I$17)+('Integrais AI'!J$18*G19^'Integrais AI'!J$17)+('Integrais AI'!K$18*G19^'Integrais AI'!K$17)+('Integrais AI'!M$18))</f>
        <v>3.966794583</v>
      </c>
      <c r="G19" s="116">
        <v>0.75</v>
      </c>
      <c r="H19" s="42">
        <v>6.0</v>
      </c>
      <c r="I19" s="95">
        <f t="shared" si="2"/>
        <v>30.77685452</v>
      </c>
      <c r="J19" s="112">
        <f t="shared" si="6"/>
        <v>773.3333333</v>
      </c>
      <c r="K19" s="42">
        <v>12.0</v>
      </c>
      <c r="L19" s="42">
        <f t="shared" si="3"/>
        <v>10</v>
      </c>
      <c r="M19" s="95">
        <f t="shared" si="4"/>
        <v>6</v>
      </c>
      <c r="N19" s="42">
        <v>10.0</v>
      </c>
      <c r="O19" s="42">
        <f t="shared" si="5"/>
        <v>8</v>
      </c>
      <c r="P19" s="42">
        <v>1.0</v>
      </c>
    </row>
    <row r="20">
      <c r="A20" s="9">
        <f>-(('Integrais AI'!D$11*B20^'Integrais AI'!D$10)+('Integrais AI'!E$11*B20^'Integrais AI'!E$10)+('Integrais AI'!F$11*B20^'Integrais AI'!F$10)+('Integrais AI'!G$11*B20^'Integrais AI'!G$10)+('Integrais AI'!H$11*B20^'Integrais AI'!H$10)+('Integrais AI'!I$11*B20^'Integrais AI'!I$10)+('Integrais AI'!J$11*B20^'Integrais AI'!J$10)+('Integrais AI'!L$11))</f>
        <v>17.16074432</v>
      </c>
      <c r="B20" s="116">
        <v>0.8</v>
      </c>
      <c r="C20" s="42">
        <v>7.0</v>
      </c>
      <c r="D20" s="42">
        <f t="shared" si="1"/>
        <v>0.002840399059</v>
      </c>
      <c r="E20" s="112">
        <f t="shared" si="9"/>
        <v>200</v>
      </c>
      <c r="F20" s="9">
        <f>(('Integrais AI'!D$18*G20^'Integrais AI'!D$17)+('Integrais AI'!E$18*G20^'Integrais AI'!E$17)+('Integrais AI'!F$18*G20^'Integrais AI'!F$17)+('Integrais AI'!G$18*G20^'Integrais AI'!G$17)+('Integrais AI'!H$18*G20^'Integrais AI'!H$17)+('Integrais AI'!I$18*G20^'Integrais AI'!I$17)+('Integrais AI'!J$18*G20^'Integrais AI'!J$17)+('Integrais AI'!K$18*G20^'Integrais AI'!K$17)+('Integrais AI'!M$18))</f>
        <v>3.039731233</v>
      </c>
      <c r="G20" s="116">
        <v>0.8</v>
      </c>
      <c r="H20" s="42">
        <v>7.0</v>
      </c>
      <c r="I20" s="95">
        <f t="shared" si="2"/>
        <v>23.58412164</v>
      </c>
      <c r="J20" s="112">
        <f t="shared" si="6"/>
        <v>773.3333333</v>
      </c>
      <c r="K20" s="42">
        <v>12.0</v>
      </c>
      <c r="L20" s="42">
        <f t="shared" si="3"/>
        <v>10</v>
      </c>
      <c r="M20" s="95">
        <f t="shared" si="4"/>
        <v>6</v>
      </c>
      <c r="N20" s="42">
        <v>10.0</v>
      </c>
      <c r="O20" s="42">
        <f t="shared" si="5"/>
        <v>8</v>
      </c>
      <c r="P20" s="42">
        <v>1.0</v>
      </c>
    </row>
    <row r="21">
      <c r="A21" s="9">
        <f>-(('Integrais AI'!D$11*B21^'Integrais AI'!D$10)+('Integrais AI'!E$11*B21^'Integrais AI'!E$10)+('Integrais AI'!F$11*B21^'Integrais AI'!F$10)+('Integrais AI'!G$11*B21^'Integrais AI'!G$10)+('Integrais AI'!H$11*B21^'Integrais AI'!H$10)+('Integrais AI'!I$11*B21^'Integrais AI'!I$10)+('Integrais AI'!J$11*B21^'Integrais AI'!J$10)+('Integrais AI'!L$11))</f>
        <v>11.93314938</v>
      </c>
      <c r="B21" s="116">
        <v>0.9</v>
      </c>
      <c r="C21" s="42">
        <v>8.0</v>
      </c>
      <c r="D21" s="42">
        <f t="shared" si="1"/>
        <v>0.001975141966</v>
      </c>
      <c r="E21" s="112">
        <f t="shared" si="9"/>
        <v>200</v>
      </c>
      <c r="F21" s="9">
        <f>(('Integrais AI'!D$18*G21^'Integrais AI'!D$17)+('Integrais AI'!E$18*G21^'Integrais AI'!E$17)+('Integrais AI'!F$18*G21^'Integrais AI'!F$17)+('Integrais AI'!G$18*G21^'Integrais AI'!G$17)+('Integrais AI'!H$18*G21^'Integrais AI'!H$17)+('Integrais AI'!I$18*G21^'Integrais AI'!I$17)+('Integrais AI'!J$18*G21^'Integrais AI'!J$17)+('Integrais AI'!K$18*G21^'Integrais AI'!K$17)+('Integrais AI'!M$18))</f>
        <v>1.588728176</v>
      </c>
      <c r="G21" s="116">
        <v>0.9</v>
      </c>
      <c r="H21" s="42">
        <v>8.0</v>
      </c>
      <c r="I21" s="95">
        <f t="shared" si="2"/>
        <v>12.3263393</v>
      </c>
      <c r="J21" s="112">
        <f t="shared" si="6"/>
        <v>773.3333333</v>
      </c>
      <c r="K21" s="42">
        <v>12.0</v>
      </c>
      <c r="L21" s="42">
        <f t="shared" si="3"/>
        <v>10</v>
      </c>
      <c r="M21" s="95">
        <f t="shared" si="4"/>
        <v>6</v>
      </c>
      <c r="N21" s="42">
        <v>10.0</v>
      </c>
      <c r="O21" s="42">
        <f t="shared" si="5"/>
        <v>8</v>
      </c>
      <c r="P21" s="42">
        <v>1.0</v>
      </c>
    </row>
    <row r="22">
      <c r="A22" s="9">
        <f>-(('Integrais AI'!D$11*B22^'Integrais AI'!D$10)+('Integrais AI'!E$11*B22^'Integrais AI'!E$10)+('Integrais AI'!F$11*B22^'Integrais AI'!F$10)+('Integrais AI'!G$11*B22^'Integrais AI'!G$10)+('Integrais AI'!H$11*B22^'Integrais AI'!H$10)+('Integrais AI'!I$11*B22^'Integrais AI'!I$10)+('Integrais AI'!J$11*B22^'Integrais AI'!J$10)+('Integrais AI'!L$11))</f>
        <v>2.79888178</v>
      </c>
      <c r="B22" s="116">
        <v>1.105</v>
      </c>
      <c r="C22" s="42">
        <v>9.0</v>
      </c>
      <c r="D22" s="42">
        <f t="shared" si="1"/>
        <v>0</v>
      </c>
      <c r="E22" s="112">
        <f t="shared" si="9"/>
        <v>0</v>
      </c>
      <c r="F22" s="9">
        <f>(('Integrais AI'!D$18*G22^'Integrais AI'!D$17)+('Integrais AI'!E$18*G22^'Integrais AI'!E$17)+('Integrais AI'!F$18*G22^'Integrais AI'!F$17)+('Integrais AI'!G$18*G22^'Integrais AI'!G$17)+('Integrais AI'!H$18*G22^'Integrais AI'!H$17)+('Integrais AI'!I$18*G22^'Integrais AI'!I$17)+('Integrais AI'!J$18*G22^'Integrais AI'!J$17)+('Integrais AI'!K$18*G22^'Integrais AI'!K$17)+('Integrais AI'!M$18))</f>
        <v>0.1232353709</v>
      </c>
      <c r="G22" s="116">
        <v>1.105</v>
      </c>
      <c r="H22" s="42">
        <v>9.0</v>
      </c>
      <c r="I22" s="95" t="str">
        <f t="shared" si="2"/>
        <v>#DIV/0!</v>
      </c>
      <c r="J22" s="112">
        <f t="shared" si="6"/>
        <v>0</v>
      </c>
    </row>
    <row r="23">
      <c r="A23" s="9">
        <f>-(('Integrais AI'!D$11*B23^'Integrais AI'!D$10)+('Integrais AI'!E$11*B23^'Integrais AI'!E$10)+('Integrais AI'!F$11*B23^'Integrais AI'!F$10)+('Integrais AI'!G$11*B23^'Integrais AI'!G$10)+('Integrais AI'!H$11*B23^'Integrais AI'!H$10)+('Integrais AI'!I$11*B23^'Integrais AI'!I$10)+('Integrais AI'!J$11*B23^'Integrais AI'!J$10)+('Integrais AI'!L$11))</f>
        <v>0</v>
      </c>
      <c r="B23" s="63">
        <f>G23</f>
        <v>1.205</v>
      </c>
      <c r="C23" s="42">
        <v>10.0</v>
      </c>
      <c r="D23" s="42">
        <f t="shared" si="1"/>
        <v>0</v>
      </c>
      <c r="E23" s="112">
        <f t="shared" si="9"/>
        <v>0</v>
      </c>
      <c r="F23" s="9">
        <f>(('Integrais AI'!D$18*G23^'Integrais AI'!D$17)+('Integrais AI'!E$18*G23^'Integrais AI'!E$17)+('Integrais AI'!F$18*G23^'Integrais AI'!F$17)+('Integrais AI'!G$18*G23^'Integrais AI'!G$17)+('Integrais AI'!H$18*G23^'Integrais AI'!H$17)+('Integrais AI'!I$18*G23^'Integrais AI'!I$17)+('Integrais AI'!J$18*G23^'Integrais AI'!J$17)+('Integrais AI'!K$18*G23^'Integrais AI'!K$17)+('Integrais AI'!M$18))</f>
        <v>0</v>
      </c>
      <c r="G23" s="63">
        <f>'Integrais AI'!B2</f>
        <v>1.205</v>
      </c>
      <c r="I23" s="95" t="str">
        <f t="shared" si="2"/>
        <v>#DIV/0!</v>
      </c>
      <c r="J23" s="112">
        <f t="shared" si="6"/>
        <v>0</v>
      </c>
    </row>
  </sheetData>
  <mergeCells count="2">
    <mergeCell ref="A11:B11"/>
    <mergeCell ref="F11:G11"/>
  </mergeCells>
  <conditionalFormatting sqref="J11">
    <cfRule type="notContainsBlanks" dxfId="5" priority="1">
      <formula>LEN(TRIM(J11))&gt;0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8" t="s">
        <v>145</v>
      </c>
      <c r="D1" s="118" t="s">
        <v>146</v>
      </c>
      <c r="J1" s="119">
        <v>1.0</v>
      </c>
    </row>
    <row r="2">
      <c r="A2" s="95">
        <f>Min('Dimensões e Massa da Balsa'!B10)</f>
        <v>35.7</v>
      </c>
    </row>
    <row r="3">
      <c r="A3" s="95" t="str">
        <f>'Dimensões e Massa da Balsa'!D3;</f>
        <v>#ERROR!</v>
      </c>
    </row>
    <row r="4">
      <c r="A4" s="118" t="s">
        <v>147</v>
      </c>
    </row>
    <row r="6">
      <c r="A6" s="118" t="s">
        <v>148</v>
      </c>
    </row>
  </sheetData>
  <drawing r:id="rId1"/>
</worksheet>
</file>