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825" yWindow="3885" windowWidth="6840" windowHeight="3915" tabRatio="466" activeTab="1"/>
  </bookViews>
  <sheets>
    <sheet name="About ABIE v3" sheetId="17" r:id="rId1"/>
    <sheet name="User Guide" sheetId="16" r:id="rId2"/>
    <sheet name="Single Calculation" sheetId="6" r:id="rId3"/>
    <sheet name="Design Comparison" sheetId="11" r:id="rId4"/>
  </sheets>
  <externalReferences>
    <externalReference r:id="rId5"/>
    <externalReference r:id="rId6"/>
  </externalReferences>
  <definedNames>
    <definedName name="_cov2" localSheetId="0">'[1]Single Calculation'!$N$63</definedName>
    <definedName name="_cov2" localSheetId="1">'[2]Single Calculation'!$N$63</definedName>
    <definedName name="_cov2">'Single Calculation'!$P$60</definedName>
    <definedName name="alpha" localSheetId="0">'[1]Single Calculation'!$N$66</definedName>
    <definedName name="alpha" localSheetId="1">'[2]Single Calculation'!$N$66</definedName>
    <definedName name="alpha">'Single Calculation'!$M$64</definedName>
    <definedName name="contr_cov_frr">'Single Calculation'!$T$58</definedName>
    <definedName name="contr_cov_mdri">'Single Calculation'!$T$57</definedName>
    <definedName name="cov_den1" localSheetId="0">'[1]Single Calculation'!#REF!</definedName>
    <definedName name="cov_den1" localSheetId="1">'[2]Single Calculation'!#REF!</definedName>
    <definedName name="cov_den1">'[2]Single Calculation'!#REF!</definedName>
    <definedName name="cov_den2" localSheetId="0">'[1]Single Calculation'!#REF!</definedName>
    <definedName name="cov_den2" localSheetId="1">'[2]Single Calculation'!#REF!</definedName>
    <definedName name="cov_den2">'[2]Single Calculation'!#REF!</definedName>
    <definedName name="cov2_frr" localSheetId="0">'[1]Single Calculation'!$N$62</definedName>
    <definedName name="cov2_frr" localSheetId="1">'[2]Single Calculation'!$N$62</definedName>
    <definedName name="cov2_frr">'Single Calculation'!$P$58</definedName>
    <definedName name="cov2_mdri" localSheetId="0">'[1]Single Calculation'!$N$61</definedName>
    <definedName name="cov2_mdri" localSheetId="1">'[2]Single Calculation'!$N$61</definedName>
    <definedName name="cov2_mdri">'Single Calculation'!$P$57</definedName>
    <definedName name="cov2_n">'Single Calculation'!$P$56</definedName>
    <definedName name="DE_prev" localSheetId="0">'[1]Single Calculation'!$D$23</definedName>
    <definedName name="DE_prev" localSheetId="1">'[2]Single Calculation'!$D$23</definedName>
    <definedName name="DE_prev">'Single Calculation'!$D$28</definedName>
    <definedName name="DE_R">'Single Calculation'!$D$29</definedName>
    <definedName name="DE_RgivenTested" localSheetId="0">'[1]Single Calculation'!$D$24</definedName>
    <definedName name="DE_RgivenTested" localSheetId="1">'[2]Single Calculation'!$D$24</definedName>
    <definedName name="DE_RgivenTested">'Single Calculation'!$D$29</definedName>
    <definedName name="error" localSheetId="0">'[1]Single Calculation'!$P$48</definedName>
    <definedName name="error" localSheetId="1">'[2]Single Calculation'!$P$48</definedName>
    <definedName name="error">'Single Calculation'!$P$62</definedName>
    <definedName name="frrhat" localSheetId="0">'[1]Single Calculation'!$D$12</definedName>
    <definedName name="frrhat" localSheetId="1">'[2]Single Calculation'!$D$12</definedName>
    <definedName name="frrhat">'Single Calculation'!$D$13</definedName>
    <definedName name="frrhatcov" localSheetId="0">'[1]Single Calculation'!$D$13</definedName>
    <definedName name="frrhatcov" localSheetId="1">'[2]Single Calculation'!$D$13</definedName>
    <definedName name="frrhatcov">'Single Calculation'!$D$14</definedName>
    <definedName name="I">'Single Calculation'!$D$17</definedName>
    <definedName name="inc_cov">'Single Calculation'!$D$36</definedName>
    <definedName name="incest_den" localSheetId="0">'[1]Single Calculation'!$N$57</definedName>
    <definedName name="incest_den">'[2]Single Calculation'!$N$57</definedName>
    <definedName name="inchat" localSheetId="0">'[1]Single Calculation'!$D$31</definedName>
    <definedName name="inchat">'[2]Single Calculation'!$D$31</definedName>
    <definedName name="inchatcov" localSheetId="0">'[1]Single Calculation'!$D$33</definedName>
    <definedName name="inchatcov">'[2]Single Calculation'!$D$33</definedName>
    <definedName name="max_cov">'Single Calculation'!$M$70</definedName>
    <definedName name="max_frr" localSheetId="0">'[1]Single Calculation'!$N$74</definedName>
    <definedName name="max_frr" localSheetId="1">'[2]Single Calculation'!$N$74</definedName>
    <definedName name="max_frr">'Single Calculation'!$M$71</definedName>
    <definedName name="max_mdri" localSheetId="0">'[1]Single Calculation'!$N$76</definedName>
    <definedName name="max_mdri" localSheetId="1">'[2]Single Calculation'!$N$76</definedName>
    <definedName name="max_mdri">'Single Calculation'!$M$73</definedName>
    <definedName name="max_T">'Single Calculation'!$M$78</definedName>
    <definedName name="maxcov_frr" localSheetId="0">'[1]Single Calculation'!$N$70</definedName>
    <definedName name="maxcov_frr" localSheetId="1">'[2]Single Calculation'!$N$70</definedName>
    <definedName name="maxcov_frr">'Single Calculation'!$M$68</definedName>
    <definedName name="maxcov_mdri" localSheetId="0">'[1]Single Calculation'!$N$68</definedName>
    <definedName name="maxcov_mdri" localSheetId="1">'[2]Single Calculation'!$N$68</definedName>
    <definedName name="maxcov_mdri">'Single Calculation'!$M$66</definedName>
    <definedName name="mdrihat" localSheetId="0">'[1]Single Calculation'!$E$10</definedName>
    <definedName name="mdrihat" localSheetId="1">'[2]Single Calculation'!$E$10</definedName>
    <definedName name="mdrihat">'Single Calculation'!$D$10</definedName>
    <definedName name="mdrihatcov" localSheetId="0">'[1]Single Calculation'!$D$11</definedName>
    <definedName name="mdrihatcov" localSheetId="1">'[2]Single Calculation'!$D$11</definedName>
    <definedName name="mdrihatcov">'Single Calculation'!$D$12</definedName>
    <definedName name="min_frr">'Single Calculation'!$M$72</definedName>
    <definedName name="min_mdri" localSheetId="0">'[1]Single Calculation'!$N$77</definedName>
    <definedName name="min_mdri" localSheetId="1">'[2]Single Calculation'!$N$77</definedName>
    <definedName name="min_mdri">'Single Calculation'!$M$74</definedName>
    <definedName name="min_n">'Single Calculation'!$M$76</definedName>
    <definedName name="min_n_r" localSheetId="0">'[1]Single Calculation'!$N$78</definedName>
    <definedName name="min_n_r" localSheetId="1">'[2]Single Calculation'!$N$78</definedName>
    <definedName name="min_n_r">'Single Calculation'!$M$75</definedName>
    <definedName name="min_T">'Single Calculation'!$M$77</definedName>
    <definedName name="mincov_frr" localSheetId="0">'[1]Single Calculation'!$N$71</definedName>
    <definedName name="mincov_frr" localSheetId="1">'[2]Single Calculation'!$N$71</definedName>
    <definedName name="mincov_frr">'Single Calculation'!$M$69</definedName>
    <definedName name="mincov_mdri" localSheetId="0">'[1]Single Calculation'!$N$69</definedName>
    <definedName name="mincov_mdri" localSheetId="1">'[2]Single Calculation'!$N$69</definedName>
    <definedName name="mincov_mdri">'Single Calculation'!$M$67</definedName>
    <definedName name="n" localSheetId="0">'[1]Single Calculation'!$D$20</definedName>
    <definedName name="n" localSheetId="1">'[2]Single Calculation'!$D$20</definedName>
    <definedName name="n">'Single Calculation'!$D$25</definedName>
    <definedName name="n_pos" localSheetId="0">'[1]Single Calculation'!$D$17</definedName>
    <definedName name="n_pos">'[2]Single Calculation'!$D$17</definedName>
    <definedName name="n_r" localSheetId="0">'[1]Single Calculation'!$D$19</definedName>
    <definedName name="n_r">'[2]Single Calculation'!$D$19</definedName>
    <definedName name="n_s" localSheetId="0">'[1]Single Calculation'!$D$16</definedName>
    <definedName name="n_s">'[2]Single Calculation'!$D$16</definedName>
    <definedName name="n_t" localSheetId="0">'[1]Single Calculation'!$D$18</definedName>
    <definedName name="n_t" localSheetId="1">'[2]Single Calculation'!$D$18</definedName>
    <definedName name="n_t">'Single Calculation'!$M$61</definedName>
    <definedName name="P">'Single Calculation'!$D$18</definedName>
    <definedName name="p_nr">'Single Calculation'!$M$58</definedName>
    <definedName name="p_pos" localSheetId="0">'[1]Single Calculation'!$N$51</definedName>
    <definedName name="p_pos" localSheetId="1">'[2]Single Calculation'!$N$51</definedName>
    <definedName name="p_pos">'Single Calculation'!$M$59</definedName>
    <definedName name="p_r">'Single Calculation'!$M$57</definedName>
    <definedName name="p_RgivenTested" localSheetId="0">'[1]Single Calculation'!$N$52</definedName>
    <definedName name="p_RgivenTested" localSheetId="1">'[2]Single Calculation'!$N$52</definedName>
    <definedName name="p_RgivenTested">'Single Calculation'!$M$60</definedName>
    <definedName name="p_s" localSheetId="0">'[1]Single Calculation'!$N$47</definedName>
    <definedName name="p_s" localSheetId="1">'[2]Single Calculation'!$N$47</definedName>
    <definedName name="p_s">'Single Calculation'!$M$56</definedName>
    <definedName name="prevhat" localSheetId="0">'[1]Single Calculation'!$D$27</definedName>
    <definedName name="prevhat">'[2]Single Calculation'!$D$27</definedName>
    <definedName name="rec_cov">'Single Calculation'!$D$32</definedName>
    <definedName name="rec_test_coverage">'Single Calculation'!$D$33</definedName>
    <definedName name="T" localSheetId="0">'[1]Single Calculation'!$E$7</definedName>
    <definedName name="T" localSheetId="1">'[2]Single Calculation'!$E$7</definedName>
    <definedName name="T">'Single Calculation'!$E$8</definedName>
    <definedName name="z" localSheetId="0">'[1]Single Calculation'!$N$67</definedName>
    <definedName name="z" localSheetId="1">'[2]Single Calculation'!$N$67</definedName>
    <definedName name="z">'Single Calculation'!$M$65</definedName>
    <definedName name="z_2">'Single Calculation'!$M$80</definedName>
  </definedNames>
  <calcPr calcId="145621"/>
</workbook>
</file>

<file path=xl/calcChain.xml><?xml version="1.0" encoding="utf-8"?>
<calcChain xmlns="http://schemas.openxmlformats.org/spreadsheetml/2006/main">
  <c r="D21" i="6" l="1"/>
  <c r="K15" i="6"/>
  <c r="K25" i="6" l="1"/>
  <c r="K32" i="6" l="1"/>
  <c r="K18" i="6"/>
  <c r="J18" i="6" s="1"/>
  <c r="K17" i="6"/>
  <c r="J17" i="6" s="1"/>
  <c r="K14" i="6"/>
  <c r="J14" i="6" s="1"/>
  <c r="K13" i="6"/>
  <c r="J13" i="6" s="1"/>
  <c r="K12" i="6"/>
  <c r="J12" i="6" s="1"/>
  <c r="J25" i="6" l="1"/>
  <c r="K29" i="6"/>
  <c r="J29" i="6" s="1"/>
  <c r="K28" i="6"/>
  <c r="J28" i="6" s="1"/>
  <c r="G9" i="6" l="1"/>
  <c r="J32" i="6" l="1"/>
  <c r="M80" i="6" l="1"/>
  <c r="E103" i="11" l="1"/>
  <c r="E104" i="11" s="1"/>
  <c r="AQ15" i="11"/>
  <c r="AP15" i="11"/>
  <c r="BA25" i="11"/>
  <c r="BA75" i="11" s="1"/>
  <c r="AZ25" i="11"/>
  <c r="AZ75" i="11" s="1"/>
  <c r="AY25" i="11"/>
  <c r="AY75" i="11" s="1"/>
  <c r="AX25" i="11"/>
  <c r="AX75" i="11" s="1"/>
  <c r="AW25" i="11"/>
  <c r="AW75" i="11" s="1"/>
  <c r="AU25" i="11"/>
  <c r="AU75" i="11" s="1"/>
  <c r="AT25" i="11"/>
  <c r="AT75" i="11" s="1"/>
  <c r="AS25" i="11"/>
  <c r="AS75" i="11" s="1"/>
  <c r="BA15" i="11"/>
  <c r="AZ15" i="11"/>
  <c r="AY15" i="11"/>
  <c r="AX15" i="11"/>
  <c r="AW15" i="11"/>
  <c r="AV15" i="11"/>
  <c r="AU15" i="11"/>
  <c r="AT15" i="11"/>
  <c r="AS15" i="11"/>
  <c r="AR15"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AV25" i="11" l="1"/>
  <c r="AV75" i="11" s="1"/>
  <c r="AT82" i="11"/>
  <c r="AX82" i="11"/>
  <c r="AY82" i="11"/>
  <c r="AP82" i="11"/>
  <c r="AV82" i="11"/>
  <c r="AQ82" i="11"/>
  <c r="AS82" i="11"/>
  <c r="AW82" i="11"/>
  <c r="BA82" i="11"/>
  <c r="AU82" i="11"/>
  <c r="AR82" i="11"/>
  <c r="AZ82" i="11"/>
  <c r="AP25" i="11"/>
  <c r="AP75" i="11" s="1"/>
  <c r="AR25" i="11"/>
  <c r="AR75" i="11" s="1"/>
  <c r="D10" i="6" l="1"/>
  <c r="D12" i="11" l="1"/>
  <c r="AQ25" i="11"/>
  <c r="AQ75" i="11" s="1"/>
  <c r="AO15" i="11"/>
  <c r="AO82" i="11" s="1"/>
  <c r="AN15" i="11"/>
  <c r="AM15" i="11"/>
  <c r="AL15" i="11"/>
  <c r="AK15" i="11"/>
  <c r="AK82" i="11" s="1"/>
  <c r="AJ15" i="11"/>
  <c r="AI15" i="11"/>
  <c r="AH15" i="11"/>
  <c r="AG15" i="11"/>
  <c r="AG82" i="11" s="1"/>
  <c r="AF15" i="11"/>
  <c r="AE15" i="11"/>
  <c r="AD15" i="11"/>
  <c r="AC15" i="11"/>
  <c r="AC82" i="11" s="1"/>
  <c r="AB15" i="11"/>
  <c r="AA15" i="11"/>
  <c r="Z15" i="11"/>
  <c r="Y15" i="11"/>
  <c r="X15" i="11"/>
  <c r="W15" i="11"/>
  <c r="V15" i="11"/>
  <c r="U15" i="11"/>
  <c r="U82" i="11" s="1"/>
  <c r="T15" i="11"/>
  <c r="S15" i="11"/>
  <c r="R15" i="11"/>
  <c r="Q15" i="11"/>
  <c r="P15" i="11"/>
  <c r="O15" i="11"/>
  <c r="N15" i="11"/>
  <c r="M15" i="11"/>
  <c r="L15" i="11"/>
  <c r="K15" i="11"/>
  <c r="J15" i="11"/>
  <c r="I15" i="11"/>
  <c r="I82" i="11" s="1"/>
  <c r="H15" i="11"/>
  <c r="G15" i="11"/>
  <c r="F15" i="11"/>
  <c r="E15" i="11"/>
  <c r="D15" i="11"/>
  <c r="M74" i="6"/>
  <c r="M73" i="6"/>
  <c r="K11" i="6" s="1"/>
  <c r="M77" i="6"/>
  <c r="E8" i="6"/>
  <c r="D23" i="6" s="1"/>
  <c r="D22" i="6" s="1"/>
  <c r="D90" i="11"/>
  <c r="E23" i="11"/>
  <c r="E74" i="11" s="1"/>
  <c r="F23" i="11"/>
  <c r="F74" i="11" s="1"/>
  <c r="G23" i="11"/>
  <c r="G74" i="11" s="1"/>
  <c r="H23" i="11"/>
  <c r="H74" i="11" s="1"/>
  <c r="I23" i="11"/>
  <c r="I74" i="11" s="1"/>
  <c r="J23" i="11"/>
  <c r="J74" i="11" s="1"/>
  <c r="K23" i="11"/>
  <c r="K74" i="11" s="1"/>
  <c r="L23" i="11"/>
  <c r="L74" i="11" s="1"/>
  <c r="M23" i="11"/>
  <c r="M74" i="11" s="1"/>
  <c r="N23" i="11"/>
  <c r="N74" i="11" s="1"/>
  <c r="O23" i="11"/>
  <c r="O74" i="11" s="1"/>
  <c r="P23" i="11"/>
  <c r="P74" i="11" s="1"/>
  <c r="Q23" i="11"/>
  <c r="Q74" i="11" s="1"/>
  <c r="R23" i="11"/>
  <c r="R74" i="11" s="1"/>
  <c r="S23" i="11"/>
  <c r="S74" i="11" s="1"/>
  <c r="T23" i="11"/>
  <c r="T74" i="11" s="1"/>
  <c r="U23" i="11"/>
  <c r="U74" i="11" s="1"/>
  <c r="V23" i="11"/>
  <c r="V74" i="11" s="1"/>
  <c r="W23" i="11"/>
  <c r="W74" i="11" s="1"/>
  <c r="X23" i="11"/>
  <c r="X74" i="11" s="1"/>
  <c r="Y23" i="11"/>
  <c r="Y74" i="11" s="1"/>
  <c r="Z23" i="11"/>
  <c r="Z74" i="11" s="1"/>
  <c r="AA23" i="11"/>
  <c r="AA74" i="11" s="1"/>
  <c r="AB23" i="11"/>
  <c r="AB74" i="11" s="1"/>
  <c r="AC23" i="11"/>
  <c r="AC74" i="11" s="1"/>
  <c r="AD23" i="11"/>
  <c r="AD74" i="11" s="1"/>
  <c r="AE23" i="11"/>
  <c r="AE74" i="11" s="1"/>
  <c r="AF23" i="11"/>
  <c r="AF74" i="11" s="1"/>
  <c r="AG23" i="11"/>
  <c r="AG74" i="11" s="1"/>
  <c r="AH23" i="11"/>
  <c r="AH74" i="11" s="1"/>
  <c r="AI23" i="11"/>
  <c r="AI74" i="11" s="1"/>
  <c r="AJ23" i="11"/>
  <c r="AJ74" i="11" s="1"/>
  <c r="AK23" i="11"/>
  <c r="AK74" i="11" s="1"/>
  <c r="AL23" i="11"/>
  <c r="AL74" i="11" s="1"/>
  <c r="AM23" i="11"/>
  <c r="AM74" i="11" s="1"/>
  <c r="AN23" i="11"/>
  <c r="AN74" i="11" s="1"/>
  <c r="AO23" i="11"/>
  <c r="AO74" i="11" s="1"/>
  <c r="AP23" i="11"/>
  <c r="AP74" i="11" s="1"/>
  <c r="AQ23" i="11"/>
  <c r="AQ74" i="11" s="1"/>
  <c r="AR23" i="11"/>
  <c r="AR74" i="11" s="1"/>
  <c r="AS23" i="11"/>
  <c r="AS74" i="11" s="1"/>
  <c r="AT23" i="11"/>
  <c r="AT74" i="11" s="1"/>
  <c r="AU23" i="11"/>
  <c r="AU74" i="11" s="1"/>
  <c r="AV23" i="11"/>
  <c r="AV74" i="11" s="1"/>
  <c r="AW23" i="11"/>
  <c r="AW74" i="11" s="1"/>
  <c r="AX23" i="11"/>
  <c r="AX74" i="11" s="1"/>
  <c r="AY23" i="11"/>
  <c r="AY74" i="11" s="1"/>
  <c r="AZ23" i="11"/>
  <c r="AZ74" i="11" s="1"/>
  <c r="BA23" i="11"/>
  <c r="BA74" i="11" s="1"/>
  <c r="D23" i="11"/>
  <c r="D74" i="11" s="1"/>
  <c r="M65" i="6"/>
  <c r="AS24" i="11"/>
  <c r="AY24" i="11"/>
  <c r="AU24" i="11"/>
  <c r="AW24" i="11"/>
  <c r="AZ24" i="11"/>
  <c r="AZ92" i="11" s="1"/>
  <c r="AX24" i="11"/>
  <c r="AT24" i="11"/>
  <c r="BA24" i="11"/>
  <c r="H13" i="6" l="1"/>
  <c r="F13" i="6"/>
  <c r="H11" i="6"/>
  <c r="F11" i="6"/>
  <c r="K8" i="6"/>
  <c r="J8" i="6" s="1"/>
  <c r="J11" i="6"/>
  <c r="AT92" i="11"/>
  <c r="AT56" i="11" s="1"/>
  <c r="AU92" i="11"/>
  <c r="AU56" i="11" s="1"/>
  <c r="AX92" i="11"/>
  <c r="AX56" i="11" s="1"/>
  <c r="AY92" i="11"/>
  <c r="AY56" i="11" s="1"/>
  <c r="AS92" i="11"/>
  <c r="AS56" i="11" s="1"/>
  <c r="BA92" i="11"/>
  <c r="BA56" i="11" s="1"/>
  <c r="AW92" i="11"/>
  <c r="AW56" i="11" s="1"/>
  <c r="J15" i="6"/>
  <c r="AV24" i="11"/>
  <c r="AV92" i="11" s="1"/>
  <c r="AT76" i="11"/>
  <c r="AT77" i="11" s="1"/>
  <c r="AT78" i="11" s="1"/>
  <c r="AT81" i="11" s="1"/>
  <c r="AW76" i="11"/>
  <c r="AW77" i="11" s="1"/>
  <c r="AW78" i="11" s="1"/>
  <c r="AW81" i="11" s="1"/>
  <c r="AX76" i="11"/>
  <c r="AX77" i="11" s="1"/>
  <c r="AX78" i="11" s="1"/>
  <c r="AX81" i="11" s="1"/>
  <c r="AU76" i="11"/>
  <c r="AU77" i="11" s="1"/>
  <c r="AU78" i="11" s="1"/>
  <c r="AU81" i="11" s="1"/>
  <c r="AY76" i="11"/>
  <c r="AY77" i="11" s="1"/>
  <c r="AY78" i="11" s="1"/>
  <c r="AY81" i="11" s="1"/>
  <c r="AY85" i="11" s="1"/>
  <c r="BA76" i="11"/>
  <c r="BA77" i="11" s="1"/>
  <c r="BA78" i="11" s="1"/>
  <c r="BA81" i="11" s="1"/>
  <c r="BA85" i="11" s="1"/>
  <c r="AZ76" i="11"/>
  <c r="AZ77" i="11" s="1"/>
  <c r="AZ78" i="11" s="1"/>
  <c r="AZ81" i="11" s="1"/>
  <c r="AZ85" i="11" s="1"/>
  <c r="AZ56" i="11"/>
  <c r="AS76" i="11"/>
  <c r="AS77" i="11" s="1"/>
  <c r="AS78" i="11" s="1"/>
  <c r="AS81" i="11" s="1"/>
  <c r="H25" i="11"/>
  <c r="H75" i="11" s="1"/>
  <c r="H82" i="11"/>
  <c r="P25" i="11"/>
  <c r="P75" i="11" s="1"/>
  <c r="P82" i="11"/>
  <c r="T25" i="11"/>
  <c r="T75" i="11" s="1"/>
  <c r="T82" i="11"/>
  <c r="AB25" i="11"/>
  <c r="AB75" i="11" s="1"/>
  <c r="AB82" i="11"/>
  <c r="AF25" i="11"/>
  <c r="AF75" i="11" s="1"/>
  <c r="AF82" i="11"/>
  <c r="AJ25" i="11"/>
  <c r="AJ75" i="11" s="1"/>
  <c r="AJ82" i="11"/>
  <c r="AN25" i="11"/>
  <c r="AN75" i="11" s="1"/>
  <c r="AN82" i="11"/>
  <c r="E25" i="11"/>
  <c r="E75" i="11" s="1"/>
  <c r="E82" i="11"/>
  <c r="M25" i="11"/>
  <c r="M75" i="11" s="1"/>
  <c r="M82" i="11"/>
  <c r="Y25" i="11"/>
  <c r="Y75" i="11" s="1"/>
  <c r="Y82" i="11"/>
  <c r="F25" i="11"/>
  <c r="F75" i="11" s="1"/>
  <c r="F82" i="11"/>
  <c r="J25" i="11"/>
  <c r="J75" i="11" s="1"/>
  <c r="J82" i="11"/>
  <c r="N25" i="11"/>
  <c r="N75" i="11" s="1"/>
  <c r="N82" i="11"/>
  <c r="R25" i="11"/>
  <c r="R75" i="11" s="1"/>
  <c r="R82" i="11"/>
  <c r="V25" i="11"/>
  <c r="V75" i="11" s="1"/>
  <c r="V82" i="11"/>
  <c r="Z25" i="11"/>
  <c r="Z75" i="11" s="1"/>
  <c r="Z82" i="11"/>
  <c r="AD25" i="11"/>
  <c r="AD75" i="11" s="1"/>
  <c r="AD82" i="11"/>
  <c r="AH25" i="11"/>
  <c r="AH75" i="11" s="1"/>
  <c r="AH82" i="11"/>
  <c r="AL25" i="11"/>
  <c r="AL75" i="11" s="1"/>
  <c r="AL82" i="11"/>
  <c r="L25" i="11"/>
  <c r="L75" i="11" s="1"/>
  <c r="L82" i="11"/>
  <c r="X25" i="11"/>
  <c r="X75" i="11" s="1"/>
  <c r="X82" i="11"/>
  <c r="Q25" i="11"/>
  <c r="Q75" i="11" s="1"/>
  <c r="Q82" i="11"/>
  <c r="G25" i="11"/>
  <c r="G75" i="11" s="1"/>
  <c r="G82" i="11"/>
  <c r="K25" i="11"/>
  <c r="K75" i="11" s="1"/>
  <c r="K82" i="11"/>
  <c r="O25" i="11"/>
  <c r="O75" i="11" s="1"/>
  <c r="O82" i="11"/>
  <c r="S25" i="11"/>
  <c r="S75" i="11" s="1"/>
  <c r="S82" i="11"/>
  <c r="W25" i="11"/>
  <c r="W75" i="11" s="1"/>
  <c r="W82" i="11"/>
  <c r="AA25" i="11"/>
  <c r="AA75" i="11" s="1"/>
  <c r="AA82" i="11"/>
  <c r="AE25" i="11"/>
  <c r="AE75" i="11" s="1"/>
  <c r="AE82" i="11"/>
  <c r="AI25" i="11"/>
  <c r="AI75" i="11" s="1"/>
  <c r="AI82" i="11"/>
  <c r="AM25" i="11"/>
  <c r="AM75" i="11" s="1"/>
  <c r="AM82" i="11"/>
  <c r="D82" i="11"/>
  <c r="D25" i="11"/>
  <c r="I25" i="11"/>
  <c r="I75" i="11" s="1"/>
  <c r="U25" i="11"/>
  <c r="AC25" i="11"/>
  <c r="AC75" i="11" s="1"/>
  <c r="AG25" i="11"/>
  <c r="AG75" i="11" s="1"/>
  <c r="AK25" i="11"/>
  <c r="AK75" i="11" s="1"/>
  <c r="AO25" i="11"/>
  <c r="P57" i="6"/>
  <c r="M56" i="6"/>
  <c r="M57" i="6"/>
  <c r="Y24" i="11" l="1"/>
  <c r="Y92" i="11" s="1"/>
  <c r="AT83" i="11"/>
  <c r="AT87" i="11" s="1"/>
  <c r="AV76" i="11"/>
  <c r="AV77" i="11" s="1"/>
  <c r="AV78" i="11" s="1"/>
  <c r="AV81" i="11" s="1"/>
  <c r="AY67" i="11"/>
  <c r="AY70" i="11"/>
  <c r="AY66" i="11"/>
  <c r="AY69" i="11"/>
  <c r="AY68" i="11"/>
  <c r="AX68" i="11"/>
  <c r="AX69" i="11"/>
  <c r="AX67" i="11"/>
  <c r="AX70" i="11"/>
  <c r="AX66" i="11"/>
  <c r="AS70" i="11"/>
  <c r="AS66" i="11"/>
  <c r="AS69" i="11"/>
  <c r="AS68" i="11"/>
  <c r="AS67" i="11"/>
  <c r="BA69" i="11"/>
  <c r="BA68" i="11"/>
  <c r="BA67" i="11"/>
  <c r="BA70" i="11"/>
  <c r="BA66" i="11"/>
  <c r="AU68" i="11"/>
  <c r="AU67" i="11"/>
  <c r="AU70" i="11"/>
  <c r="AU66" i="11"/>
  <c r="AU69" i="11"/>
  <c r="AW69" i="11"/>
  <c r="AW66" i="11"/>
  <c r="AW68" i="11"/>
  <c r="AW67" i="11"/>
  <c r="AW70" i="11"/>
  <c r="AZ70" i="11"/>
  <c r="AZ66" i="11"/>
  <c r="AZ69" i="11"/>
  <c r="AZ68" i="11"/>
  <c r="AZ67" i="11"/>
  <c r="AT69" i="11"/>
  <c r="AT67" i="11"/>
  <c r="AT70" i="11"/>
  <c r="AT68" i="11"/>
  <c r="AT66" i="11"/>
  <c r="AV67" i="11"/>
  <c r="AV68" i="11" s="1"/>
  <c r="AV66" i="11"/>
  <c r="AX83" i="11"/>
  <c r="AX87" i="11" s="1"/>
  <c r="AZ83" i="11"/>
  <c r="AZ87" i="11" s="1"/>
  <c r="V24" i="11"/>
  <c r="V92" i="11" s="1"/>
  <c r="AJ24" i="11"/>
  <c r="AJ92" i="11" s="1"/>
  <c r="BA83" i="11"/>
  <c r="BA87" i="11" s="1"/>
  <c r="AU83" i="11"/>
  <c r="AU87" i="11" s="1"/>
  <c r="M24" i="11"/>
  <c r="M92" i="11" s="1"/>
  <c r="AS83" i="11"/>
  <c r="AS87" i="11" s="1"/>
  <c r="AY83" i="11"/>
  <c r="AY87" i="11" s="1"/>
  <c r="AW83" i="11"/>
  <c r="AW87" i="11" s="1"/>
  <c r="AZ100" i="11"/>
  <c r="AZ99" i="11"/>
  <c r="AZ96" i="11"/>
  <c r="AZ97" i="11"/>
  <c r="AY99" i="11"/>
  <c r="AY96" i="11"/>
  <c r="AY100" i="11"/>
  <c r="AY97" i="11"/>
  <c r="AX100" i="11"/>
  <c r="AX99" i="11"/>
  <c r="AX96" i="11"/>
  <c r="AX97" i="11"/>
  <c r="AT100" i="11"/>
  <c r="AT99" i="11"/>
  <c r="AT96" i="11"/>
  <c r="AT97" i="11"/>
  <c r="AS99" i="11"/>
  <c r="AS96" i="11"/>
  <c r="AS100" i="11"/>
  <c r="AS97" i="11"/>
  <c r="BA99" i="11"/>
  <c r="BA96" i="11"/>
  <c r="BA100" i="11"/>
  <c r="BA97" i="11"/>
  <c r="AU99" i="11"/>
  <c r="AU96" i="11"/>
  <c r="AU100" i="11"/>
  <c r="AU97" i="11"/>
  <c r="AW99" i="11"/>
  <c r="AW96" i="11"/>
  <c r="AW100" i="11"/>
  <c r="AW97" i="11"/>
  <c r="AV96" i="11"/>
  <c r="AG24" i="11"/>
  <c r="AG92" i="11" s="1"/>
  <c r="AO24" i="11"/>
  <c r="AO92" i="11" s="1"/>
  <c r="AO75" i="11"/>
  <c r="U24" i="11"/>
  <c r="U92" i="11" s="1"/>
  <c r="U75" i="11"/>
  <c r="AT85" i="11"/>
  <c r="AW85" i="11"/>
  <c r="AS85" i="11"/>
  <c r="AX85" i="11"/>
  <c r="I24" i="11"/>
  <c r="I92" i="11" s="1"/>
  <c r="AC24" i="11"/>
  <c r="AC92" i="11" s="1"/>
  <c r="AK24" i="11"/>
  <c r="AK92" i="11" s="1"/>
  <c r="BA61" i="11"/>
  <c r="BA57" i="11"/>
  <c r="BA60" i="11"/>
  <c r="AU57" i="11"/>
  <c r="AU61" i="11"/>
  <c r="AU60" i="11"/>
  <c r="AZ60" i="11"/>
  <c r="AZ57" i="11"/>
  <c r="AZ61" i="11"/>
  <c r="AX61" i="11"/>
  <c r="AX60" i="11"/>
  <c r="AX57" i="11"/>
  <c r="AS61" i="11"/>
  <c r="AS57" i="11"/>
  <c r="AS60" i="11"/>
  <c r="AY57" i="11"/>
  <c r="AY61" i="11"/>
  <c r="AY60" i="11"/>
  <c r="AT61" i="11"/>
  <c r="AT60" i="11"/>
  <c r="AT57" i="11"/>
  <c r="AW61" i="11"/>
  <c r="AW60" i="11"/>
  <c r="AW57" i="11"/>
  <c r="K24" i="11"/>
  <c r="K92" i="11" s="1"/>
  <c r="AB24" i="11"/>
  <c r="AB92" i="11" s="1"/>
  <c r="J24" i="11"/>
  <c r="J92" i="11" s="1"/>
  <c r="Z24" i="11"/>
  <c r="Z92" i="11" s="1"/>
  <c r="Q24" i="11"/>
  <c r="Q92" i="11" s="1"/>
  <c r="AL24" i="11"/>
  <c r="AL92" i="11" s="1"/>
  <c r="T24" i="11"/>
  <c r="T92" i="11" s="1"/>
  <c r="AU85" i="11"/>
  <c r="F24" i="11"/>
  <c r="F92" i="11" s="1"/>
  <c r="AI24" i="11"/>
  <c r="AI92" i="11" s="1"/>
  <c r="AM24" i="11"/>
  <c r="AM92" i="11" s="1"/>
  <c r="AE24" i="11"/>
  <c r="AE92" i="11" s="1"/>
  <c r="AP24" i="11"/>
  <c r="AP92" i="11" s="1"/>
  <c r="AN24" i="11"/>
  <c r="AN92" i="11" s="1"/>
  <c r="AF24" i="11"/>
  <c r="AF92" i="11" s="1"/>
  <c r="H24" i="11"/>
  <c r="H92" i="11" s="1"/>
  <c r="S24" i="11"/>
  <c r="S92" i="11" s="1"/>
  <c r="AR24" i="11"/>
  <c r="N24" i="11"/>
  <c r="N92" i="11" s="1"/>
  <c r="AQ24" i="11"/>
  <c r="AQ92" i="11" s="1"/>
  <c r="O24" i="11"/>
  <c r="O92" i="11" s="1"/>
  <c r="L24" i="11"/>
  <c r="L92" i="11" s="1"/>
  <c r="E24" i="11"/>
  <c r="E92" i="11" s="1"/>
  <c r="R24" i="11"/>
  <c r="R92" i="11" s="1"/>
  <c r="AH24" i="11"/>
  <c r="AH92" i="11" s="1"/>
  <c r="X24" i="11"/>
  <c r="X92" i="11" s="1"/>
  <c r="G24" i="11"/>
  <c r="G92" i="11" s="1"/>
  <c r="P24" i="11"/>
  <c r="P92" i="11" s="1"/>
  <c r="AA24" i="11"/>
  <c r="AA92" i="11" s="1"/>
  <c r="W24" i="11"/>
  <c r="W92" i="11" s="1"/>
  <c r="AD24" i="11"/>
  <c r="AD92" i="11" s="1"/>
  <c r="D24" i="11"/>
  <c r="D92" i="11" s="1"/>
  <c r="D75" i="11"/>
  <c r="M58" i="6"/>
  <c r="AR92" i="11" l="1"/>
  <c r="AR56" i="11" s="1"/>
  <c r="Y76" i="11"/>
  <c r="Y77" i="11" s="1"/>
  <c r="Y78" i="11" s="1"/>
  <c r="Y81" i="11" s="1"/>
  <c r="AJ76" i="11"/>
  <c r="AJ77" i="11" s="1"/>
  <c r="AJ78" i="11" s="1"/>
  <c r="AJ81" i="11" s="1"/>
  <c r="AJ66" i="11"/>
  <c r="AV83" i="11"/>
  <c r="AV70" i="11"/>
  <c r="AV69" i="11"/>
  <c r="Y66" i="11"/>
  <c r="Y67" i="11"/>
  <c r="Y68" i="11" s="1"/>
  <c r="M67" i="11"/>
  <c r="M68" i="11" s="1"/>
  <c r="M66" i="11"/>
  <c r="V66" i="11"/>
  <c r="V67" i="11"/>
  <c r="V68" i="11" s="1"/>
  <c r="D66" i="11"/>
  <c r="D67" i="11"/>
  <c r="AJ67" i="11"/>
  <c r="AJ68" i="11" s="1"/>
  <c r="M76" i="11"/>
  <c r="M77" i="11" s="1"/>
  <c r="M78" i="11" s="1"/>
  <c r="V76" i="11"/>
  <c r="V77" i="11" s="1"/>
  <c r="V78" i="11" s="1"/>
  <c r="V81" i="11" s="1"/>
  <c r="X76" i="11"/>
  <c r="X77" i="11" s="1"/>
  <c r="X78" i="11" s="1"/>
  <c r="X81" i="11" s="1"/>
  <c r="D96" i="11"/>
  <c r="P76" i="11"/>
  <c r="P77" i="11" s="1"/>
  <c r="P78" i="11" s="1"/>
  <c r="P81" i="11" s="1"/>
  <c r="R76" i="11"/>
  <c r="R77" i="11" s="1"/>
  <c r="R78" i="11" s="1"/>
  <c r="R81" i="11" s="1"/>
  <c r="AQ76" i="11"/>
  <c r="AQ77" i="11" s="1"/>
  <c r="AQ78" i="11" s="1"/>
  <c r="AQ81" i="11" s="1"/>
  <c r="H76" i="11"/>
  <c r="H77" i="11" s="1"/>
  <c r="H78" i="11" s="1"/>
  <c r="H81" i="11" s="1"/>
  <c r="AE76" i="11"/>
  <c r="AE77" i="11" s="1"/>
  <c r="AE78" i="11" s="1"/>
  <c r="AE81" i="11" s="1"/>
  <c r="Z76" i="11"/>
  <c r="Z77" i="11" s="1"/>
  <c r="Z78" i="11" s="1"/>
  <c r="Z81" i="11" s="1"/>
  <c r="I76" i="11"/>
  <c r="I77" i="11" s="1"/>
  <c r="I78" i="11" s="1"/>
  <c r="I81" i="11" s="1"/>
  <c r="AO76" i="11"/>
  <c r="AO77" i="11" s="1"/>
  <c r="AO78" i="11" s="1"/>
  <c r="AO81" i="11" s="1"/>
  <c r="M96" i="11"/>
  <c r="V96" i="11"/>
  <c r="AD76" i="11"/>
  <c r="AD77" i="11" s="1"/>
  <c r="AD78" i="11" s="1"/>
  <c r="AD81" i="11" s="1"/>
  <c r="G76" i="11"/>
  <c r="G77" i="11" s="1"/>
  <c r="G78" i="11" s="1"/>
  <c r="G81" i="11" s="1"/>
  <c r="E76" i="11"/>
  <c r="E77" i="11" s="1"/>
  <c r="E78" i="11" s="1"/>
  <c r="E81" i="11" s="1"/>
  <c r="N76" i="11"/>
  <c r="N77" i="11" s="1"/>
  <c r="N78" i="11" s="1"/>
  <c r="N81" i="11" s="1"/>
  <c r="AF76" i="11"/>
  <c r="AF77" i="11" s="1"/>
  <c r="AF78" i="11" s="1"/>
  <c r="AF81" i="11" s="1"/>
  <c r="AM76" i="11"/>
  <c r="AM77" i="11" s="1"/>
  <c r="AM78" i="11" s="1"/>
  <c r="AM81" i="11" s="1"/>
  <c r="T76" i="11"/>
  <c r="T77" i="11" s="1"/>
  <c r="T78" i="11" s="1"/>
  <c r="T81" i="11" s="1"/>
  <c r="J76" i="11"/>
  <c r="J77" i="11" s="1"/>
  <c r="J78" i="11" s="1"/>
  <c r="J81" i="11" s="1"/>
  <c r="W76" i="11"/>
  <c r="W77" i="11" s="1"/>
  <c r="W78" i="11" s="1"/>
  <c r="W81" i="11" s="1"/>
  <c r="L76" i="11"/>
  <c r="L77" i="11" s="1"/>
  <c r="L78" i="11" s="1"/>
  <c r="L81" i="11" s="1"/>
  <c r="AR76" i="11"/>
  <c r="AR77" i="11" s="1"/>
  <c r="AR78" i="11" s="1"/>
  <c r="AR81" i="11" s="1"/>
  <c r="AN76" i="11"/>
  <c r="AN77" i="11" s="1"/>
  <c r="AN78" i="11" s="1"/>
  <c r="AN81" i="11" s="1"/>
  <c r="AI76" i="11"/>
  <c r="AI77" i="11" s="1"/>
  <c r="AI78" i="11" s="1"/>
  <c r="AI81" i="11" s="1"/>
  <c r="AL76" i="11"/>
  <c r="AL77" i="11" s="1"/>
  <c r="AL78" i="11" s="1"/>
  <c r="AL81" i="11" s="1"/>
  <c r="AB76" i="11"/>
  <c r="AB77" i="11" s="1"/>
  <c r="AB78" i="11" s="1"/>
  <c r="AB81" i="11" s="1"/>
  <c r="AK76" i="11"/>
  <c r="AK77" i="11" s="1"/>
  <c r="AK78" i="11" s="1"/>
  <c r="AK81" i="11" s="1"/>
  <c r="U76" i="11"/>
  <c r="U77" i="11" s="1"/>
  <c r="U78" i="11" s="1"/>
  <c r="U81" i="11" s="1"/>
  <c r="AJ96" i="11"/>
  <c r="Y96" i="11"/>
  <c r="AA76" i="11"/>
  <c r="AA77" i="11" s="1"/>
  <c r="AA78" i="11" s="1"/>
  <c r="AA81" i="11" s="1"/>
  <c r="AH76" i="11"/>
  <c r="AH77" i="11" s="1"/>
  <c r="AH78" i="11" s="1"/>
  <c r="AH81" i="11" s="1"/>
  <c r="O76" i="11"/>
  <c r="O77" i="11" s="1"/>
  <c r="O78" i="11" s="1"/>
  <c r="O81" i="11" s="1"/>
  <c r="S76" i="11"/>
  <c r="S77" i="11" s="1"/>
  <c r="S78" i="11" s="1"/>
  <c r="S81" i="11" s="1"/>
  <c r="AP76" i="11"/>
  <c r="AP77" i="11" s="1"/>
  <c r="AP78" i="11" s="1"/>
  <c r="AP81" i="11" s="1"/>
  <c r="F76" i="11"/>
  <c r="F77" i="11" s="1"/>
  <c r="F78" i="11" s="1"/>
  <c r="F81" i="11" s="1"/>
  <c r="Q76" i="11"/>
  <c r="Q77" i="11" s="1"/>
  <c r="Q78" i="11" s="1"/>
  <c r="Q81" i="11" s="1"/>
  <c r="K76" i="11"/>
  <c r="K77" i="11" s="1"/>
  <c r="K78" i="11" s="1"/>
  <c r="K81" i="11" s="1"/>
  <c r="AC76" i="11"/>
  <c r="AC77" i="11" s="1"/>
  <c r="AC78" i="11" s="1"/>
  <c r="AC81" i="11" s="1"/>
  <c r="AG76" i="11"/>
  <c r="AG77" i="11" s="1"/>
  <c r="AG78" i="11" s="1"/>
  <c r="D76" i="11"/>
  <c r="D77" i="11" s="1"/>
  <c r="D78" i="11" s="1"/>
  <c r="D81" i="11" s="1"/>
  <c r="M59" i="6"/>
  <c r="M61" i="6" s="1"/>
  <c r="K22" i="6"/>
  <c r="J22" i="6" s="1"/>
  <c r="P62" i="6" s="1"/>
  <c r="Y83" i="11" l="1"/>
  <c r="Y87" i="11" s="1"/>
  <c r="Y56" i="11" s="1"/>
  <c r="Y69" i="11"/>
  <c r="AJ70" i="11"/>
  <c r="AJ83" i="11"/>
  <c r="AJ87" i="11" s="1"/>
  <c r="AJ69" i="11"/>
  <c r="AV85" i="11"/>
  <c r="AV57" i="11" s="1"/>
  <c r="AV87" i="11"/>
  <c r="AV56" i="11" s="1"/>
  <c r="AJ56" i="11"/>
  <c r="I83" i="11"/>
  <c r="N83" i="11"/>
  <c r="N87" i="11" s="1"/>
  <c r="N56" i="11" s="1"/>
  <c r="AQ83" i="11"/>
  <c r="L83" i="11"/>
  <c r="L87" i="11" s="1"/>
  <c r="L56" i="11" s="1"/>
  <c r="M69" i="11"/>
  <c r="T83" i="11"/>
  <c r="T87" i="11" s="1"/>
  <c r="T56" i="11" s="1"/>
  <c r="X83" i="11"/>
  <c r="X87" i="11" s="1"/>
  <c r="X56" i="11" s="1"/>
  <c r="D70" i="11"/>
  <c r="M70" i="11"/>
  <c r="Y70" i="11"/>
  <c r="X66" i="11"/>
  <c r="X67" i="11"/>
  <c r="X68" i="11" s="1"/>
  <c r="X69" i="11" s="1"/>
  <c r="V69" i="11"/>
  <c r="K66" i="11"/>
  <c r="K67" i="11"/>
  <c r="K68" i="11" s="1"/>
  <c r="K69" i="11" s="1"/>
  <c r="S67" i="11"/>
  <c r="S68" i="11" s="1"/>
  <c r="S69" i="11" s="1"/>
  <c r="S66" i="11"/>
  <c r="AK67" i="11"/>
  <c r="AK68" i="11" s="1"/>
  <c r="AK69" i="11" s="1"/>
  <c r="AK66" i="11"/>
  <c r="AN67" i="11"/>
  <c r="AN68" i="11" s="1"/>
  <c r="AN69" i="11" s="1"/>
  <c r="AN66" i="11"/>
  <c r="J67" i="11"/>
  <c r="J68" i="11" s="1"/>
  <c r="J69" i="11" s="1"/>
  <c r="J66" i="11"/>
  <c r="N66" i="11"/>
  <c r="N67" i="11"/>
  <c r="N68" i="11" s="1"/>
  <c r="N69" i="11" s="1"/>
  <c r="AE67" i="11"/>
  <c r="AE68" i="11" s="1"/>
  <c r="AE69" i="11" s="1"/>
  <c r="AE66" i="11"/>
  <c r="D68" i="11"/>
  <c r="D69" i="11" s="1"/>
  <c r="E83" i="11"/>
  <c r="AG67" i="11"/>
  <c r="AG68" i="11" s="1"/>
  <c r="AG69" i="11" s="1"/>
  <c r="AG66" i="11"/>
  <c r="F66" i="11"/>
  <c r="F67" i="11"/>
  <c r="F68" i="11" s="1"/>
  <c r="F69" i="11" s="1"/>
  <c r="AH67" i="11"/>
  <c r="AH68" i="11" s="1"/>
  <c r="AH69" i="11" s="1"/>
  <c r="AH66" i="11"/>
  <c r="AL66" i="11"/>
  <c r="AL67" i="11"/>
  <c r="AL68" i="11" s="1"/>
  <c r="AL69" i="11" s="1"/>
  <c r="L67" i="11"/>
  <c r="L68" i="11" s="1"/>
  <c r="L69" i="11" s="1"/>
  <c r="L66" i="11"/>
  <c r="AM66" i="11"/>
  <c r="AM67" i="11"/>
  <c r="AM68" i="11" s="1"/>
  <c r="AM69" i="11" s="1"/>
  <c r="G66" i="11"/>
  <c r="G67" i="11"/>
  <c r="G68" i="11" s="1"/>
  <c r="G69" i="11" s="1"/>
  <c r="I67" i="11"/>
  <c r="I68" i="11" s="1"/>
  <c r="I69" i="11" s="1"/>
  <c r="I66" i="11"/>
  <c r="AQ67" i="11"/>
  <c r="AQ68" i="11" s="1"/>
  <c r="AQ69" i="11" s="1"/>
  <c r="AQ66" i="11"/>
  <c r="P66" i="11"/>
  <c r="P67" i="11"/>
  <c r="P68" i="11" s="1"/>
  <c r="P69" i="11" s="1"/>
  <c r="V70" i="11"/>
  <c r="R83" i="11"/>
  <c r="AI83" i="11"/>
  <c r="AC67" i="11"/>
  <c r="AC68" i="11" s="1"/>
  <c r="AC69" i="11" s="1"/>
  <c r="AC66" i="11"/>
  <c r="Q66" i="11"/>
  <c r="Q67" i="11"/>
  <c r="Q68" i="11" s="1"/>
  <c r="Q69" i="11" s="1"/>
  <c r="AP67" i="11"/>
  <c r="AP68" i="11" s="1"/>
  <c r="AP69" i="11" s="1"/>
  <c r="AP66" i="11"/>
  <c r="O67" i="11"/>
  <c r="O68" i="11" s="1"/>
  <c r="O69" i="11" s="1"/>
  <c r="O66" i="11"/>
  <c r="AA67" i="11"/>
  <c r="AA68" i="11" s="1"/>
  <c r="AA69" i="11" s="1"/>
  <c r="AA66" i="11"/>
  <c r="U66" i="11"/>
  <c r="U67" i="11"/>
  <c r="U68" i="11" s="1"/>
  <c r="U69" i="11" s="1"/>
  <c r="AB67" i="11"/>
  <c r="AB68" i="11" s="1"/>
  <c r="AB69" i="11" s="1"/>
  <c r="AB66" i="11"/>
  <c r="AI67" i="11"/>
  <c r="AI68" i="11" s="1"/>
  <c r="AI69" i="11" s="1"/>
  <c r="AI66" i="11"/>
  <c r="AR67" i="11"/>
  <c r="AR69" i="11"/>
  <c r="AR68" i="11"/>
  <c r="AR70" i="11"/>
  <c r="AR66" i="11"/>
  <c r="W67" i="11"/>
  <c r="W68" i="11" s="1"/>
  <c r="W69" i="11" s="1"/>
  <c r="W66" i="11"/>
  <c r="T66" i="11"/>
  <c r="T67" i="11"/>
  <c r="T68" i="11" s="1"/>
  <c r="T69" i="11" s="1"/>
  <c r="AF67" i="11"/>
  <c r="AF68" i="11" s="1"/>
  <c r="AF69" i="11" s="1"/>
  <c r="AF66" i="11"/>
  <c r="AD66" i="11"/>
  <c r="AD67" i="11"/>
  <c r="AD68" i="11" s="1"/>
  <c r="AD69" i="11" s="1"/>
  <c r="AO67" i="11"/>
  <c r="AO68" i="11" s="1"/>
  <c r="AO69" i="11" s="1"/>
  <c r="AO66" i="11"/>
  <c r="Z66" i="11"/>
  <c r="Z67" i="11"/>
  <c r="Z68" i="11" s="1"/>
  <c r="Z69" i="11" s="1"/>
  <c r="H67" i="11"/>
  <c r="H68" i="11" s="1"/>
  <c r="H69" i="11" s="1"/>
  <c r="H66" i="11"/>
  <c r="R66" i="11"/>
  <c r="R67" i="11"/>
  <c r="R68" i="11" s="1"/>
  <c r="R69" i="11" s="1"/>
  <c r="E66" i="11"/>
  <c r="E67" i="11"/>
  <c r="E68" i="11" s="1"/>
  <c r="E69" i="11" s="1"/>
  <c r="AH83" i="11"/>
  <c r="V83" i="11"/>
  <c r="G83" i="11"/>
  <c r="F83" i="11"/>
  <c r="F87" i="11" s="1"/>
  <c r="F56" i="11" s="1"/>
  <c r="AN83" i="11"/>
  <c r="AA83" i="11"/>
  <c r="AM83" i="11"/>
  <c r="AE83" i="11"/>
  <c r="S83" i="11"/>
  <c r="AL83" i="11"/>
  <c r="J83" i="11"/>
  <c r="P83" i="11"/>
  <c r="AK83" i="11"/>
  <c r="M81" i="11"/>
  <c r="M83" i="11"/>
  <c r="M87" i="11" s="1"/>
  <c r="M56" i="11" s="1"/>
  <c r="W83" i="11"/>
  <c r="AB83" i="11"/>
  <c r="AR83" i="11"/>
  <c r="Z83" i="11"/>
  <c r="AP83" i="11"/>
  <c r="AF83" i="11"/>
  <c r="AD83" i="11"/>
  <c r="Q83" i="11"/>
  <c r="H83" i="11"/>
  <c r="O83" i="11"/>
  <c r="AC83" i="11"/>
  <c r="K83" i="11"/>
  <c r="AG96" i="11"/>
  <c r="K96" i="11"/>
  <c r="F96" i="11"/>
  <c r="S96" i="11"/>
  <c r="AH96" i="11"/>
  <c r="U96" i="11"/>
  <c r="AB96" i="11"/>
  <c r="AI96" i="11"/>
  <c r="AR96" i="11"/>
  <c r="W96" i="11"/>
  <c r="T96" i="11"/>
  <c r="AF96" i="11"/>
  <c r="E96" i="11"/>
  <c r="AD96" i="11"/>
  <c r="I96" i="11"/>
  <c r="AE96" i="11"/>
  <c r="AQ96" i="11"/>
  <c r="P96" i="11"/>
  <c r="AG81" i="11"/>
  <c r="AG83" i="11"/>
  <c r="AG87" i="11" s="1"/>
  <c r="AG56" i="11" s="1"/>
  <c r="AC96" i="11"/>
  <c r="Q96" i="11"/>
  <c r="AP96" i="11"/>
  <c r="O96" i="11"/>
  <c r="AA96" i="11"/>
  <c r="AK96" i="11"/>
  <c r="AL96" i="11"/>
  <c r="AN96" i="11"/>
  <c r="L96" i="11"/>
  <c r="J96" i="11"/>
  <c r="AM96" i="11"/>
  <c r="N96" i="11"/>
  <c r="G96" i="11"/>
  <c r="AO96" i="11"/>
  <c r="Z96" i="11"/>
  <c r="H96" i="11"/>
  <c r="R96" i="11"/>
  <c r="X96" i="11"/>
  <c r="D83" i="11"/>
  <c r="D87" i="11" s="1"/>
  <c r="D56" i="11" s="1"/>
  <c r="U83" i="11"/>
  <c r="U87" i="11" s="1"/>
  <c r="U56" i="11" s="1"/>
  <c r="AO83" i="11"/>
  <c r="AO87" i="11" s="1"/>
  <c r="AO56" i="11" s="1"/>
  <c r="M60" i="6"/>
  <c r="P56" i="6" s="1"/>
  <c r="D47" i="6"/>
  <c r="D46" i="6"/>
  <c r="D45" i="6"/>
  <c r="Y85" i="11" l="1"/>
  <c r="Y57" i="11" s="1"/>
  <c r="Y61" i="11" s="1"/>
  <c r="Y100" i="11" s="1"/>
  <c r="X85" i="11"/>
  <c r="X57" i="11" s="1"/>
  <c r="X61" i="11" s="1"/>
  <c r="X100" i="11" s="1"/>
  <c r="F85" i="11"/>
  <c r="F57" i="11" s="1"/>
  <c r="F61" i="11" s="1"/>
  <c r="F100" i="11" s="1"/>
  <c r="N85" i="11"/>
  <c r="N57" i="11" s="1"/>
  <c r="N97" i="11" s="1"/>
  <c r="T85" i="11"/>
  <c r="T57" i="11" s="1"/>
  <c r="T61" i="11" s="1"/>
  <c r="T100" i="11" s="1"/>
  <c r="AJ85" i="11"/>
  <c r="AJ57" i="11" s="1"/>
  <c r="AC85" i="11"/>
  <c r="AC57" i="11" s="1"/>
  <c r="AC60" i="11" s="1"/>
  <c r="AC99" i="11" s="1"/>
  <c r="AC87" i="11"/>
  <c r="AC56" i="11" s="1"/>
  <c r="AD85" i="11"/>
  <c r="AD57" i="11" s="1"/>
  <c r="AD97" i="11" s="1"/>
  <c r="AD87" i="11"/>
  <c r="AD56" i="11" s="1"/>
  <c r="AA85" i="11"/>
  <c r="AA57" i="11" s="1"/>
  <c r="AA97" i="11" s="1"/>
  <c r="AA87" i="11"/>
  <c r="AA56" i="11" s="1"/>
  <c r="E85" i="11"/>
  <c r="E57" i="11" s="1"/>
  <c r="E97" i="11" s="1"/>
  <c r="E87" i="11"/>
  <c r="E56" i="11" s="1"/>
  <c r="I85" i="11"/>
  <c r="I57" i="11" s="1"/>
  <c r="I60" i="11" s="1"/>
  <c r="I99" i="11" s="1"/>
  <c r="I87" i="11"/>
  <c r="I56" i="11" s="1"/>
  <c r="O85" i="11"/>
  <c r="O57" i="11" s="1"/>
  <c r="O97" i="11" s="1"/>
  <c r="O87" i="11"/>
  <c r="O56" i="11" s="1"/>
  <c r="AB85" i="11"/>
  <c r="AB57" i="11" s="1"/>
  <c r="AB97" i="11" s="1"/>
  <c r="AB87" i="11"/>
  <c r="AB56" i="11" s="1"/>
  <c r="S85" i="11"/>
  <c r="S57" i="11" s="1"/>
  <c r="S97" i="11" s="1"/>
  <c r="S87" i="11"/>
  <c r="S56" i="11" s="1"/>
  <c r="AH85" i="11"/>
  <c r="AH57" i="11" s="1"/>
  <c r="AH97" i="11" s="1"/>
  <c r="AH87" i="11"/>
  <c r="AH56" i="11" s="1"/>
  <c r="L85" i="11"/>
  <c r="L57" i="11" s="1"/>
  <c r="L60" i="11" s="1"/>
  <c r="L99" i="11" s="1"/>
  <c r="H85" i="11"/>
  <c r="H57" i="11" s="1"/>
  <c r="H61" i="11" s="1"/>
  <c r="H100" i="11" s="1"/>
  <c r="H87" i="11"/>
  <c r="H56" i="11" s="1"/>
  <c r="AP85" i="11"/>
  <c r="AP57" i="11" s="1"/>
  <c r="AP97" i="11" s="1"/>
  <c r="AP87" i="11"/>
  <c r="AP56" i="11" s="1"/>
  <c r="W85" i="11"/>
  <c r="W57" i="11" s="1"/>
  <c r="W97" i="11" s="1"/>
  <c r="W87" i="11"/>
  <c r="W56" i="11" s="1"/>
  <c r="P85" i="11"/>
  <c r="P57" i="11" s="1"/>
  <c r="P97" i="11" s="1"/>
  <c r="P87" i="11"/>
  <c r="P56" i="11" s="1"/>
  <c r="AE85" i="11"/>
  <c r="AE57" i="11" s="1"/>
  <c r="AE97" i="11" s="1"/>
  <c r="AE87" i="11"/>
  <c r="AE56" i="11" s="1"/>
  <c r="R85" i="11"/>
  <c r="R57" i="11" s="1"/>
  <c r="R97" i="11" s="1"/>
  <c r="R87" i="11"/>
  <c r="R56" i="11" s="1"/>
  <c r="AQ85" i="11"/>
  <c r="AQ57" i="11" s="1"/>
  <c r="AQ97" i="11" s="1"/>
  <c r="AQ87" i="11"/>
  <c r="AQ56" i="11" s="1"/>
  <c r="AR85" i="11"/>
  <c r="AR57" i="11" s="1"/>
  <c r="AR61" i="11" s="1"/>
  <c r="AR100" i="11" s="1"/>
  <c r="AR87" i="11"/>
  <c r="AL85" i="11"/>
  <c r="AL57" i="11" s="1"/>
  <c r="AL97" i="11" s="1"/>
  <c r="AL87" i="11"/>
  <c r="AL56" i="11" s="1"/>
  <c r="V85" i="11"/>
  <c r="V57" i="11" s="1"/>
  <c r="V97" i="11" s="1"/>
  <c r="V87" i="11"/>
  <c r="V56" i="11" s="1"/>
  <c r="AF85" i="11"/>
  <c r="AF57" i="11" s="1"/>
  <c r="AF97" i="11" s="1"/>
  <c r="AF87" i="11"/>
  <c r="AF56" i="11" s="1"/>
  <c r="AK85" i="11"/>
  <c r="AK57" i="11" s="1"/>
  <c r="AK61" i="11" s="1"/>
  <c r="AK100" i="11" s="1"/>
  <c r="AK87" i="11"/>
  <c r="AK56" i="11" s="1"/>
  <c r="AN85" i="11"/>
  <c r="AN57" i="11" s="1"/>
  <c r="AN97" i="11" s="1"/>
  <c r="AN87" i="11"/>
  <c r="AN56" i="11" s="1"/>
  <c r="AI85" i="11"/>
  <c r="AI57" i="11" s="1"/>
  <c r="AI61" i="11" s="1"/>
  <c r="AI100" i="11" s="1"/>
  <c r="AI87" i="11"/>
  <c r="AI56" i="11" s="1"/>
  <c r="K85" i="11"/>
  <c r="K57" i="11" s="1"/>
  <c r="K97" i="11" s="1"/>
  <c r="K87" i="11"/>
  <c r="K56" i="11" s="1"/>
  <c r="Q85" i="11"/>
  <c r="Q57" i="11" s="1"/>
  <c r="Q97" i="11" s="1"/>
  <c r="Q87" i="11"/>
  <c r="Q56" i="11" s="1"/>
  <c r="Z85" i="11"/>
  <c r="Z57" i="11" s="1"/>
  <c r="Z97" i="11" s="1"/>
  <c r="Z87" i="11"/>
  <c r="Z56" i="11" s="1"/>
  <c r="J85" i="11"/>
  <c r="J57" i="11" s="1"/>
  <c r="J61" i="11" s="1"/>
  <c r="J100" i="11" s="1"/>
  <c r="J87" i="11"/>
  <c r="J56" i="11" s="1"/>
  <c r="AM85" i="11"/>
  <c r="AM57" i="11" s="1"/>
  <c r="AM60" i="11" s="1"/>
  <c r="AM99" i="11" s="1"/>
  <c r="AM87" i="11"/>
  <c r="AM56" i="11" s="1"/>
  <c r="G85" i="11"/>
  <c r="G57" i="11" s="1"/>
  <c r="G97" i="11" s="1"/>
  <c r="G87" i="11"/>
  <c r="G56" i="11" s="1"/>
  <c r="AV61" i="11"/>
  <c r="AV100" i="11" s="1"/>
  <c r="AV60" i="11"/>
  <c r="AV99" i="11" s="1"/>
  <c r="AV97" i="11"/>
  <c r="P58" i="6"/>
  <c r="D35" i="6" s="1"/>
  <c r="S70" i="11"/>
  <c r="AI70" i="11"/>
  <c r="O70" i="11"/>
  <c r="K70" i="11"/>
  <c r="R70" i="11"/>
  <c r="AD70" i="11"/>
  <c r="P70" i="11"/>
  <c r="AM70" i="11"/>
  <c r="F70" i="11"/>
  <c r="N70" i="11"/>
  <c r="H70" i="11"/>
  <c r="AO70" i="11"/>
  <c r="AF70" i="11"/>
  <c r="W70" i="11"/>
  <c r="AQ70" i="11"/>
  <c r="L70" i="11"/>
  <c r="AH70" i="11"/>
  <c r="AG70" i="11"/>
  <c r="AE70" i="11"/>
  <c r="J70" i="11"/>
  <c r="Z70" i="11"/>
  <c r="T70" i="11"/>
  <c r="AL70" i="11"/>
  <c r="E70" i="11"/>
  <c r="AB70" i="11"/>
  <c r="AA70" i="11"/>
  <c r="AP70" i="11"/>
  <c r="AC70" i="11"/>
  <c r="U70" i="11"/>
  <c r="AN70" i="11"/>
  <c r="G70" i="11"/>
  <c r="AK70" i="11"/>
  <c r="Q70" i="11"/>
  <c r="I70" i="11"/>
  <c r="X70" i="11"/>
  <c r="AG85" i="11"/>
  <c r="AG57" i="11" s="1"/>
  <c r="AG60" i="11" s="1"/>
  <c r="AG99" i="11" s="1"/>
  <c r="M85" i="11"/>
  <c r="M57" i="11" s="1"/>
  <c r="M60" i="11" s="1"/>
  <c r="M99" i="11" s="1"/>
  <c r="X97" i="11"/>
  <c r="AR97" i="11"/>
  <c r="U85" i="11"/>
  <c r="U57" i="11" s="1"/>
  <c r="AO85" i="11"/>
  <c r="AO57" i="11" s="1"/>
  <c r="D85" i="11"/>
  <c r="D57" i="11" s="1"/>
  <c r="N61" i="11"/>
  <c r="N100" i="11" s="1"/>
  <c r="AR60" i="11"/>
  <c r="AR99" i="11" s="1"/>
  <c r="D48" i="6"/>
  <c r="D49" i="6"/>
  <c r="AI60" i="11" l="1"/>
  <c r="AI99" i="11" s="1"/>
  <c r="R60" i="11"/>
  <c r="R99" i="11" s="1"/>
  <c r="AP61" i="11"/>
  <c r="AP100" i="11" s="1"/>
  <c r="AK97" i="11"/>
  <c r="V60" i="11"/>
  <c r="V99" i="11" s="1"/>
  <c r="Y97" i="11"/>
  <c r="Y60" i="11"/>
  <c r="Y99" i="11" s="1"/>
  <c r="H60" i="11"/>
  <c r="H99" i="11" s="1"/>
  <c r="X60" i="11"/>
  <c r="X99" i="11" s="1"/>
  <c r="Q60" i="11"/>
  <c r="Q99" i="11" s="1"/>
  <c r="AK60" i="11"/>
  <c r="AK99" i="11" s="1"/>
  <c r="AI97" i="11"/>
  <c r="P60" i="11"/>
  <c r="P99" i="11" s="1"/>
  <c r="AB61" i="11"/>
  <c r="AB100" i="11" s="1"/>
  <c r="L61" i="11"/>
  <c r="L100" i="11" s="1"/>
  <c r="O60" i="11"/>
  <c r="O99" i="11" s="1"/>
  <c r="G60" i="11"/>
  <c r="G99" i="11" s="1"/>
  <c r="E61" i="11"/>
  <c r="E100" i="11" s="1"/>
  <c r="S60" i="11"/>
  <c r="S99" i="11" s="1"/>
  <c r="T60" i="11"/>
  <c r="T99" i="11" s="1"/>
  <c r="AP60" i="11"/>
  <c r="AP99" i="11" s="1"/>
  <c r="N60" i="11"/>
  <c r="N99" i="11" s="1"/>
  <c r="K60" i="11"/>
  <c r="K99" i="11" s="1"/>
  <c r="G61" i="11"/>
  <c r="G100" i="11" s="1"/>
  <c r="J97" i="11"/>
  <c r="V61" i="11"/>
  <c r="V100" i="11" s="1"/>
  <c r="J60" i="11"/>
  <c r="J99" i="11" s="1"/>
  <c r="W61" i="11"/>
  <c r="W100" i="11" s="1"/>
  <c r="Z60" i="11"/>
  <c r="Z99" i="11" s="1"/>
  <c r="Q61" i="11"/>
  <c r="Q100" i="11" s="1"/>
  <c r="P61" i="11"/>
  <c r="P100" i="11" s="1"/>
  <c r="R61" i="11"/>
  <c r="R100" i="11" s="1"/>
  <c r="AH61" i="11"/>
  <c r="AH100" i="11" s="1"/>
  <c r="F60" i="11"/>
  <c r="F99" i="11" s="1"/>
  <c r="F97" i="11"/>
  <c r="Z61" i="11"/>
  <c r="Z100" i="11" s="1"/>
  <c r="K61" i="11"/>
  <c r="K100" i="11" s="1"/>
  <c r="I61" i="11"/>
  <c r="I100" i="11" s="1"/>
  <c r="W60" i="11"/>
  <c r="W99" i="11" s="1"/>
  <c r="E60" i="11"/>
  <c r="E99" i="11" s="1"/>
  <c r="AA60" i="11"/>
  <c r="AA99" i="11" s="1"/>
  <c r="S61" i="11"/>
  <c r="S100" i="11" s="1"/>
  <c r="H97" i="11"/>
  <c r="O61" i="11"/>
  <c r="O100" i="11" s="1"/>
  <c r="AD61" i="11"/>
  <c r="AD100" i="11" s="1"/>
  <c r="T97" i="11"/>
  <c r="L97" i="11"/>
  <c r="AL61" i="11"/>
  <c r="AL100" i="11" s="1"/>
  <c r="AF61" i="11"/>
  <c r="AF100" i="11" s="1"/>
  <c r="AE60" i="11"/>
  <c r="AE99" i="11" s="1"/>
  <c r="AL60" i="11"/>
  <c r="AL99" i="11" s="1"/>
  <c r="AA61" i="11"/>
  <c r="AA100" i="11" s="1"/>
  <c r="AB60" i="11"/>
  <c r="AB99" i="11" s="1"/>
  <c r="AC61" i="11"/>
  <c r="AC100" i="11" s="1"/>
  <c r="AJ97" i="11"/>
  <c r="AJ61" i="11"/>
  <c r="AJ100" i="11" s="1"/>
  <c r="AJ60" i="11"/>
  <c r="AJ99" i="11" s="1"/>
  <c r="AH60" i="11"/>
  <c r="AH99" i="11" s="1"/>
  <c r="I97" i="11"/>
  <c r="AC97" i="11"/>
  <c r="AQ60" i="11"/>
  <c r="AQ99" i="11" s="1"/>
  <c r="AD60" i="11"/>
  <c r="AD99" i="11" s="1"/>
  <c r="AQ61" i="11"/>
  <c r="AQ100" i="11" s="1"/>
  <c r="AN61" i="11"/>
  <c r="AN100" i="11" s="1"/>
  <c r="AM61" i="11"/>
  <c r="AM100" i="11" s="1"/>
  <c r="AN60" i="11"/>
  <c r="AN99" i="11" s="1"/>
  <c r="AF60" i="11"/>
  <c r="AF99" i="11" s="1"/>
  <c r="AE61" i="11"/>
  <c r="AE100" i="11" s="1"/>
  <c r="AM97" i="11"/>
  <c r="P60" i="6"/>
  <c r="D36" i="6" s="1"/>
  <c r="AG61" i="11"/>
  <c r="AG100" i="11" s="1"/>
  <c r="AG97" i="11"/>
  <c r="M61" i="11"/>
  <c r="M100" i="11" s="1"/>
  <c r="M97" i="11"/>
  <c r="D60" i="11"/>
  <c r="D99" i="11" s="1"/>
  <c r="D97" i="11"/>
  <c r="AO61" i="11"/>
  <c r="AO100" i="11" s="1"/>
  <c r="AO97" i="11"/>
  <c r="U60" i="11"/>
  <c r="U99" i="11" s="1"/>
  <c r="U97" i="11"/>
  <c r="U61" i="11"/>
  <c r="U100" i="11" s="1"/>
  <c r="AO60" i="11"/>
  <c r="AO99" i="11" s="1"/>
  <c r="D61" i="11"/>
  <c r="D100" i="11" s="1"/>
  <c r="K39" i="6" l="1"/>
  <c r="J39" i="6" s="1"/>
  <c r="K48" i="6"/>
  <c r="J48" i="6" s="1"/>
  <c r="D40" i="6"/>
  <c r="D39" i="6"/>
  <c r="K36" i="6"/>
  <c r="J36" i="6" s="1"/>
</calcChain>
</file>

<file path=xl/sharedStrings.xml><?xml version="1.0" encoding="utf-8"?>
<sst xmlns="http://schemas.openxmlformats.org/spreadsheetml/2006/main" count="161" uniqueCount="106">
  <si>
    <t>-</t>
  </si>
  <si>
    <t>(</t>
  </si>
  <si>
    <t>)</t>
  </si>
  <si>
    <t>Inputs</t>
  </si>
  <si>
    <t>Outputs</t>
  </si>
  <si>
    <t>Reference Epidemic State</t>
  </si>
  <si>
    <t>Test for Recent Infection/Assay Characteristics</t>
  </si>
  <si>
    <t>finite sample size</t>
  </si>
  <si>
    <t>uncertainty in mdri</t>
  </si>
  <si>
    <t>uncertainty in frr</t>
  </si>
  <si>
    <t>total</t>
  </si>
  <si>
    <t>other parameters</t>
  </si>
  <si>
    <t>alpha</t>
  </si>
  <si>
    <t>z</t>
  </si>
  <si>
    <t>HIV-negative</t>
  </si>
  <si>
    <t>HIV-positive, 'recent'</t>
  </si>
  <si>
    <t>HIV-positive, 'non-recent'</t>
  </si>
  <si>
    <t>HIV-positive</t>
  </si>
  <si>
    <t>estimated population proportions</t>
  </si>
  <si>
    <t>Reference Incidence (%)</t>
  </si>
  <si>
    <t>max frr</t>
  </si>
  <si>
    <t>min frr</t>
  </si>
  <si>
    <t>max mdri</t>
  </si>
  <si>
    <t>min mdri</t>
  </si>
  <si>
    <t>min n_r</t>
  </si>
  <si>
    <t>Reference Prevalence (%)</t>
  </si>
  <si>
    <t>Test Performance Calculator</t>
  </si>
  <si>
    <t>Sample Size</t>
  </si>
  <si>
    <t>min_n</t>
  </si>
  <si>
    <t>min_T</t>
  </si>
  <si>
    <t>max_T</t>
  </si>
  <si>
    <t>percentage allowed below 0</t>
  </si>
  <si>
    <t>z_2</t>
  </si>
  <si>
    <r>
      <t xml:space="preserve">Time Cut-Off </t>
    </r>
    <r>
      <rPr>
        <b/>
        <i/>
        <sz val="12"/>
        <rFont val="Arial"/>
        <family val="2"/>
      </rPr>
      <t>T</t>
    </r>
  </si>
  <si>
    <t>Design Effects</t>
  </si>
  <si>
    <t>Design effect for prevalence of HIV infection</t>
  </si>
  <si>
    <t>Design effect for prevalence of recent infection among positives</t>
  </si>
  <si>
    <t>RSE^2 of incidence estimate</t>
  </si>
  <si>
    <t>max RSE estimated MDRI</t>
  </si>
  <si>
    <t>min RSE estimated MDRI</t>
  </si>
  <si>
    <t>max RSE estimated FRR</t>
  </si>
  <si>
    <t>min RSE estimated FRR</t>
  </si>
  <si>
    <t>max RSE incidence</t>
  </si>
  <si>
    <t>Intermediate results</t>
  </si>
  <si>
    <t>Recency Test Coverage</t>
  </si>
  <si>
    <t>HIV-'recent'|(HIV-postive and tested for recency)</t>
  </si>
  <si>
    <t>N tested for recency</t>
  </si>
  <si>
    <t>HIV-positives tested for recency</t>
  </si>
  <si>
    <t>Total sample size</t>
  </si>
  <si>
    <r>
      <t xml:space="preserve">Post-infection time cut-off </t>
    </r>
    <r>
      <rPr>
        <i/>
        <sz val="10"/>
        <rFont val="Arial"/>
        <family val="2"/>
      </rPr>
      <t>T</t>
    </r>
    <r>
      <rPr>
        <sz val="10"/>
        <rFont val="Arial"/>
        <family val="2"/>
      </rPr>
      <t xml:space="preserve">, separating "true-recent" </t>
    </r>
  </si>
  <si>
    <t>from "false-recent" results (days)</t>
  </si>
  <si>
    <t>Estimated mean duration of recent infection (MDRI) (days)</t>
  </si>
  <si>
    <t>Relative standard error of MDRI estimate (%)</t>
  </si>
  <si>
    <t>Estimated false-recent rate (FRR) (%)</t>
  </si>
  <si>
    <t>Relative standard error of FRR estimate (%)</t>
  </si>
  <si>
    <t>p.a.</t>
  </si>
  <si>
    <t>Percentage HIV-positives tested for recency</t>
  </si>
  <si>
    <t>HIV-positive (classified as "non-recently" infected)</t>
  </si>
  <si>
    <t>HIV-positive (classified as "recently" infected)</t>
  </si>
  <si>
    <t>Recency test-positive (i.e. classified as "recently" infected)</t>
  </si>
  <si>
    <t>Expected Survey Counts</t>
  </si>
  <si>
    <t>Supplementary output</t>
  </si>
  <si>
    <t>Reference incidence (% p.a.)</t>
  </si>
  <si>
    <t>Reference prevalence (%)</t>
  </si>
  <si>
    <t>Indicative 95% Confidence Interval for Incidence</t>
  </si>
  <si>
    <t xml:space="preserve">Design Label  </t>
  </si>
  <si>
    <t>(Numeric; for example, recent/non-recent threshold)</t>
  </si>
  <si>
    <t>Design label</t>
  </si>
  <si>
    <t xml:space="preserve">Test for Recent Infection/Assay Characteristics </t>
  </si>
  <si>
    <t>for Given Design</t>
  </si>
  <si>
    <t>error</t>
  </si>
  <si>
    <t>|</t>
  </si>
  <si>
    <t>graph</t>
  </si>
  <si>
    <t xml:space="preserve">Population Proportions (Implied by Above Inputs) </t>
  </si>
  <si>
    <t>Population Proportions (Implied by Above Inputs)</t>
  </si>
  <si>
    <t>min RSE^2</t>
  </si>
  <si>
    <t>Messages</t>
  </si>
  <si>
    <t>↓</t>
  </si>
  <si>
    <t>RSE of incidence estimate (%)</t>
  </si>
  <si>
    <t>Relative Standard Error of Incidence Estimate</t>
  </si>
  <si>
    <t>Relative standard error of incidence estimate at infinite sample size (%)</t>
  </si>
  <si>
    <t>Relative standard error of incidence estimate (%)</t>
  </si>
  <si>
    <t>RSE of incidence estimate at infinite sample size (%)</t>
  </si>
  <si>
    <t>epidemic state, design effects and recency test coverage</t>
  </si>
  <si>
    <t>and normal distribution)</t>
  </si>
  <si>
    <t>Lower limit of indicative 95% CI (% p.a.)</t>
  </si>
  <si>
    <t>Upper limit of indicative 95% CI (% p.a.)</t>
  </si>
  <si>
    <t xml:space="preserve">Calculates the relative standard error (RSE) of the incidence estimate implied by test characteristics, </t>
  </si>
  <si>
    <r>
      <t>Enter each design into the &lt;</t>
    </r>
    <r>
      <rPr>
        <i/>
        <sz val="10"/>
        <rFont val="Arial"/>
        <family val="2"/>
      </rPr>
      <t>Single Calculation</t>
    </r>
    <r>
      <rPr>
        <sz val="10"/>
        <rFont val="Arial"/>
        <family val="2"/>
      </rPr>
      <t>&gt; sheet to view additional output and relevant messages</t>
    </r>
  </si>
  <si>
    <t xml:space="preserve">Calculates the relative standard error (RSE) of the incidence estimate implied by </t>
  </si>
  <si>
    <t>recency test characteristics, epidemic state, design effects and recency test coverage</t>
  </si>
  <si>
    <t xml:space="preserve">      Supplementary output</t>
  </si>
  <si>
    <t xml:space="preserve">  </t>
  </si>
  <si>
    <t>Single Calculation</t>
  </si>
  <si>
    <t>Summary</t>
  </si>
  <si>
    <t>Design Comparison</t>
  </si>
  <si>
    <t>Glossary</t>
  </si>
  <si>
    <t>Further Reading</t>
  </si>
  <si>
    <t>Acknowledgements</t>
  </si>
  <si>
    <t>Citation</t>
  </si>
  <si>
    <t>License</t>
  </si>
  <si>
    <t>New Features</t>
  </si>
  <si>
    <t>Overview of ABIE v3</t>
  </si>
  <si>
    <t>Introduction to ABIE</t>
  </si>
  <si>
    <t>Top of Worksheet</t>
  </si>
  <si>
    <t>Worksheets in this Workbook</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</si>
</sst>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Red]\-0.00%"/>
    <numFmt numFmtId="167" formatCode="General;[Red]\-General"/>
    <numFmt numFmtId="168" formatCode="0.00;[Red]\-0.00"/>
    <numFmt numFmtId="169" formatCode="0.0000;[Red]\-0.0000"/>
    <numFmt numFmtId="170" formatCode="0.00_ ;[Red]\-0.00\ "/>
    <numFmt numFmtId="171" formatCode="0;[Red]\-0"/>
    <numFmt numFmtId="172" formatCode="0.000%"/>
    <numFmt numFmtId="173" formatCode="0.0"/>
  </numFmts>
  <fonts count="25" x14ac:knownFonts="1">
    <font>
      <sz val="10"/>
      <name val="Arial"/>
    </font>
    <font>
      <sz val="10"/>
      <name val="Arial"/>
      <family val="2"/>
    </font>
    <font>
      <b/>
      <sz val="10"/>
      <name val="Arial"/>
      <family val="2"/>
    </font>
    <font>
      <b/>
      <sz val="12"/>
      <name val="Arial"/>
      <family val="2"/>
    </font>
    <font>
      <sz val="8"/>
      <name val="Arial"/>
      <family val="2"/>
    </font>
    <font>
      <b/>
      <sz val="16"/>
      <name val="Arial"/>
      <family val="2"/>
    </font>
    <font>
      <sz val="10"/>
      <name val="Arial"/>
      <family val="2"/>
    </font>
    <font>
      <sz val="11"/>
      <color indexed="8"/>
      <name val="Calibri"/>
      <family val="2"/>
    </font>
    <font>
      <sz val="11"/>
      <color indexed="60"/>
      <name val="Calibri"/>
      <family val="2"/>
    </font>
    <font>
      <b/>
      <sz val="11"/>
      <color indexed="8"/>
      <name val="Calibri"/>
      <family val="2"/>
    </font>
    <font>
      <b/>
      <i/>
      <sz val="12"/>
      <name val="Arial"/>
      <family val="2"/>
    </font>
    <font>
      <i/>
      <sz val="10"/>
      <name val="Arial"/>
      <family val="2"/>
    </font>
    <font>
      <sz val="10"/>
      <color theme="1" tint="0.499984740745262"/>
      <name val="Arial"/>
      <family val="2"/>
    </font>
    <font>
      <sz val="10"/>
      <color theme="0"/>
      <name val="Arial"/>
      <family val="2"/>
    </font>
    <font>
      <sz val="10"/>
      <color rgb="FFFF0000"/>
      <name val="Arial"/>
      <family val="2"/>
    </font>
    <font>
      <b/>
      <sz val="10"/>
      <color rgb="FFFF0000"/>
      <name val="Arial"/>
      <family val="2"/>
    </font>
    <font>
      <sz val="10"/>
      <color theme="1"/>
      <name val="Arial"/>
      <family val="2"/>
    </font>
    <font>
      <sz val="10"/>
      <color theme="0" tint="-0.34998626667073579"/>
      <name val="Arial"/>
      <family val="2"/>
    </font>
    <font>
      <sz val="10"/>
      <color theme="1" tint="0.34998626667073579"/>
      <name val="Arial"/>
      <family val="2"/>
    </font>
    <font>
      <b/>
      <sz val="10"/>
      <color theme="1" tint="0.34998626667073579"/>
      <name val="Arial"/>
      <family val="2"/>
    </font>
    <font>
      <b/>
      <sz val="11"/>
      <color theme="1" tint="0.499984740745262"/>
      <name val="Arial"/>
      <family val="2"/>
    </font>
    <font>
      <sz val="36"/>
      <name val="Arial"/>
      <family val="2"/>
    </font>
    <font>
      <b/>
      <sz val="10"/>
      <color theme="1" tint="0.499984740745262"/>
      <name val="Arial"/>
      <family val="2"/>
    </font>
    <font>
      <b/>
      <sz val="10"/>
      <color theme="0"/>
      <name val="Arial"/>
      <family val="2"/>
    </font>
    <font>
      <u/>
      <sz val="10"/>
      <color theme="10"/>
      <name val="Arial"/>
      <family val="2"/>
    </font>
  </fonts>
  <fills count="11">
    <fill>
      <patternFill patternType="none"/>
    </fill>
    <fill>
      <patternFill patternType="gray125"/>
    </fill>
    <fill>
      <patternFill patternType="solid">
        <fgColor indexed="43"/>
      </patternFill>
    </fill>
    <fill>
      <patternFill patternType="solid">
        <fgColor indexed="31"/>
        <bgColor indexed="64"/>
      </patternFill>
    </fill>
    <fill>
      <patternFill patternType="solid">
        <fgColor indexed="27"/>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CCFFFF"/>
        <bgColor indexed="64"/>
      </patternFill>
    </fill>
    <fill>
      <patternFill patternType="solid">
        <fgColor rgb="FFCCCCFF"/>
        <bgColor indexed="64"/>
      </patternFill>
    </fill>
    <fill>
      <patternFill patternType="solid">
        <fgColor rgb="FF92D050"/>
        <bgColor indexed="64"/>
      </patternFill>
    </fill>
  </fills>
  <borders count="24">
    <border>
      <left/>
      <right/>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theme="0" tint="-0.499984740745262"/>
      </top>
      <bottom/>
      <diagonal/>
    </border>
    <border>
      <left/>
      <right style="thin">
        <color theme="0" tint="-0.499984740745262"/>
      </right>
      <top/>
      <bottom/>
      <diagonal/>
    </border>
    <border>
      <left style="thin">
        <color auto="1"/>
      </left>
      <right style="thin">
        <color theme="0" tint="-0.499984740745262"/>
      </right>
      <top style="thin">
        <color auto="1"/>
      </top>
      <bottom style="thin">
        <color auto="1"/>
      </bottom>
      <diagonal/>
    </border>
    <border>
      <left style="thin">
        <color auto="1"/>
      </left>
      <right style="thin">
        <color theme="0" tint="-0.499984740745262"/>
      </right>
      <top style="thin">
        <color auto="1"/>
      </top>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theme="0" tint="-0.499984740745262"/>
      </right>
      <top style="thin">
        <color auto="1"/>
      </top>
      <bottom style="thin">
        <color auto="1"/>
      </bottom>
      <diagonal/>
    </border>
    <border>
      <left style="thin">
        <color theme="0" tint="-0.499984740745262"/>
      </left>
      <right style="thin">
        <color theme="0" tint="-0.499984740745262"/>
      </right>
      <top style="thin">
        <color auto="1"/>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style="thin">
        <color auto="1"/>
      </bottom>
      <diagonal/>
    </border>
  </borders>
  <cellStyleXfs count="9">
    <xf numFmtId="0" fontId="0" fillId="0" borderId="0"/>
    <xf numFmtId="0" fontId="8" fillId="2" borderId="0" applyNumberFormat="0" applyBorder="0" applyAlignment="0" applyProtection="0"/>
    <xf numFmtId="0" fontId="7" fillId="0" borderId="0"/>
    <xf numFmtId="0" fontId="7" fillId="0" borderId="0"/>
    <xf numFmtId="9" fontId="1" fillId="0" borderId="0" applyFont="0" applyFill="0" applyBorder="0" applyAlignment="0" applyProtection="0"/>
    <xf numFmtId="9" fontId="6" fillId="0" borderId="0" applyFont="0" applyFill="0" applyBorder="0" applyAlignment="0" applyProtection="0"/>
    <xf numFmtId="0" fontId="9" fillId="0" borderId="1" applyNumberFormat="0" applyFill="0" applyAlignment="0" applyProtection="0"/>
    <xf numFmtId="0" fontId="1" fillId="0" borderId="0"/>
    <xf numFmtId="0" fontId="24" fillId="0" borderId="0" applyNumberFormat="0" applyFill="0" applyBorder="0" applyAlignment="0" applyProtection="0"/>
  </cellStyleXfs>
  <cellXfs count="186">
    <xf numFmtId="0" fontId="0" fillId="0" borderId="0" xfId="0"/>
    <xf numFmtId="0" fontId="0" fillId="0" borderId="0" xfId="0" applyProtection="1"/>
    <xf numFmtId="0" fontId="12" fillId="0" borderId="0" xfId="0" applyFont="1" applyFill="1" applyAlignment="1" applyProtection="1">
      <alignment horizontal="center"/>
    </xf>
    <xf numFmtId="0" fontId="12" fillId="0" borderId="0" xfId="0" applyFont="1" applyFill="1" applyProtection="1"/>
    <xf numFmtId="0" fontId="3" fillId="0" borderId="0" xfId="0" applyFont="1" applyFill="1" applyProtection="1"/>
    <xf numFmtId="0" fontId="0" fillId="0" borderId="0" xfId="0" applyFill="1" applyProtection="1"/>
    <xf numFmtId="0" fontId="6" fillId="0" borderId="0" xfId="0" applyFont="1" applyFill="1" applyProtection="1"/>
    <xf numFmtId="0" fontId="6" fillId="0" borderId="0" xfId="0" applyFont="1" applyFill="1" applyAlignment="1" applyProtection="1">
      <alignment horizontal="center"/>
    </xf>
    <xf numFmtId="0" fontId="6" fillId="0" borderId="0" xfId="0" applyFont="1" applyFill="1" applyAlignment="1" applyProtection="1">
      <alignment horizontal="right"/>
    </xf>
    <xf numFmtId="9" fontId="6" fillId="0" borderId="0" xfId="4" applyFont="1" applyFill="1" applyProtection="1"/>
    <xf numFmtId="10" fontId="6" fillId="0" borderId="0" xfId="0" applyNumberFormat="1" applyFont="1" applyFill="1" applyProtection="1"/>
    <xf numFmtId="0" fontId="3" fillId="0" borderId="0" xfId="0" applyFont="1" applyFill="1" applyAlignment="1" applyProtection="1">
      <alignment horizontal="left"/>
    </xf>
    <xf numFmtId="0" fontId="2" fillId="0" borderId="0" xfId="0" applyFont="1" applyFill="1" applyAlignment="1" applyProtection="1">
      <alignment horizontal="center"/>
    </xf>
    <xf numFmtId="169" fontId="0" fillId="0" borderId="0" xfId="0" applyNumberFormat="1" applyFill="1" applyAlignment="1" applyProtection="1">
      <alignment horizontal="right"/>
    </xf>
    <xf numFmtId="1" fontId="6" fillId="0" borderId="0" xfId="0" applyNumberFormat="1" applyFont="1" applyFill="1" applyAlignment="1" applyProtection="1">
      <alignment horizontal="center"/>
    </xf>
    <xf numFmtId="165" fontId="6" fillId="0" borderId="0" xfId="0" applyNumberFormat="1" applyFont="1" applyFill="1" applyAlignment="1" applyProtection="1">
      <alignment horizontal="center"/>
    </xf>
    <xf numFmtId="0" fontId="2" fillId="0" borderId="0" xfId="0" applyFont="1" applyFill="1" applyProtection="1"/>
    <xf numFmtId="0" fontId="13" fillId="0" borderId="0" xfId="0" applyFont="1" applyFill="1" applyProtection="1"/>
    <xf numFmtId="0" fontId="14" fillId="0" borderId="0" xfId="0" applyFont="1" applyFill="1" applyProtection="1"/>
    <xf numFmtId="0" fontId="15" fillId="0" borderId="0" xfId="0" applyFont="1" applyFill="1" applyAlignment="1" applyProtection="1">
      <alignment horizontal="center"/>
    </xf>
    <xf numFmtId="0" fontId="15" fillId="0" borderId="0" xfId="0" applyFont="1" applyFill="1" applyProtection="1"/>
    <xf numFmtId="0" fontId="16" fillId="0" borderId="0" xfId="0" applyFont="1" applyFill="1" applyProtection="1"/>
    <xf numFmtId="0" fontId="5" fillId="0" borderId="0" xfId="0" applyFont="1" applyFill="1" applyProtection="1"/>
    <xf numFmtId="0" fontId="0" fillId="3" borderId="0" xfId="0" applyFill="1" applyProtection="1">
      <protection locked="0"/>
    </xf>
    <xf numFmtId="0" fontId="16" fillId="0" borderId="0" xfId="0" applyFont="1" applyProtection="1"/>
    <xf numFmtId="0" fontId="0" fillId="3" borderId="0" xfId="0" applyFill="1" applyBorder="1" applyProtection="1">
      <protection locked="0"/>
    </xf>
    <xf numFmtId="0" fontId="0" fillId="0" borderId="0" xfId="0" applyFill="1" applyBorder="1" applyProtection="1"/>
    <xf numFmtId="0" fontId="13" fillId="0" borderId="0" xfId="0" applyFont="1" applyProtection="1"/>
    <xf numFmtId="0" fontId="6" fillId="0" borderId="0" xfId="0" applyFont="1" applyFill="1" applyBorder="1" applyProtection="1"/>
    <xf numFmtId="0" fontId="6" fillId="0" borderId="0" xfId="0" applyFont="1" applyProtection="1"/>
    <xf numFmtId="0" fontId="3" fillId="5" borderId="0" xfId="0" applyFont="1" applyFill="1" applyBorder="1" applyProtection="1"/>
    <xf numFmtId="0" fontId="17" fillId="0" borderId="0" xfId="0" applyFont="1" applyFill="1" applyProtection="1"/>
    <xf numFmtId="0" fontId="17" fillId="0" borderId="0" xfId="0" applyFont="1" applyProtection="1"/>
    <xf numFmtId="0" fontId="6" fillId="7" borderId="0" xfId="0" applyFont="1" applyFill="1" applyProtection="1"/>
    <xf numFmtId="0" fontId="0" fillId="3" borderId="0" xfId="0" applyFill="1" applyAlignment="1" applyProtection="1">
      <alignment horizontal="center"/>
    </xf>
    <xf numFmtId="0" fontId="0" fillId="4" borderId="2" xfId="0" applyFill="1" applyBorder="1" applyAlignment="1" applyProtection="1">
      <alignment horizontal="center"/>
    </xf>
    <xf numFmtId="168" fontId="0" fillId="6" borderId="0" xfId="5" applyNumberFormat="1" applyFont="1" applyFill="1" applyAlignment="1" applyProtection="1">
      <alignment horizontal="center"/>
    </xf>
    <xf numFmtId="10" fontId="0" fillId="6" borderId="0" xfId="5" applyNumberFormat="1" applyFont="1" applyFill="1" applyAlignment="1" applyProtection="1">
      <alignment horizontal="center"/>
    </xf>
    <xf numFmtId="166" fontId="6" fillId="6" borderId="0" xfId="5" applyNumberFormat="1" applyFont="1" applyFill="1" applyAlignment="1" applyProtection="1">
      <alignment horizontal="center"/>
    </xf>
    <xf numFmtId="10" fontId="6" fillId="6" borderId="0" xfId="5" applyNumberFormat="1" applyFont="1" applyFill="1" applyAlignment="1" applyProtection="1">
      <alignment horizontal="center"/>
    </xf>
    <xf numFmtId="10" fontId="0" fillId="4" borderId="4" xfId="4" applyNumberFormat="1" applyFont="1" applyFill="1" applyBorder="1" applyProtection="1"/>
    <xf numFmtId="0" fontId="6" fillId="0" borderId="5" xfId="0" applyFont="1" applyFill="1" applyBorder="1" applyProtection="1"/>
    <xf numFmtId="164" fontId="17" fillId="0" borderId="0" xfId="4" applyNumberFormat="1" applyFont="1" applyFill="1" applyBorder="1" applyProtection="1"/>
    <xf numFmtId="0" fontId="2" fillId="0" borderId="0" xfId="0" applyFont="1" applyFill="1" applyBorder="1" applyProtection="1"/>
    <xf numFmtId="0" fontId="2" fillId="0" borderId="0" xfId="0" applyFont="1" applyBorder="1" applyProtection="1"/>
    <xf numFmtId="0" fontId="0" fillId="0" borderId="0" xfId="0" applyBorder="1" applyProtection="1"/>
    <xf numFmtId="0" fontId="12" fillId="0" borderId="0" xfId="0" applyFont="1" applyFill="1" applyBorder="1" applyProtection="1"/>
    <xf numFmtId="0" fontId="13" fillId="0" borderId="0" xfId="0" applyFont="1" applyFill="1" applyBorder="1" applyProtection="1"/>
    <xf numFmtId="10" fontId="0" fillId="3" borderId="0" xfId="0" applyNumberFormat="1" applyFill="1" applyBorder="1" applyProtection="1">
      <protection locked="0"/>
    </xf>
    <xf numFmtId="9" fontId="0" fillId="0" borderId="0" xfId="0" applyNumberFormat="1" applyFill="1" applyBorder="1" applyProtection="1"/>
    <xf numFmtId="0" fontId="3" fillId="0" borderId="0" xfId="0" applyFont="1" applyFill="1" applyBorder="1" applyProtection="1"/>
    <xf numFmtId="9" fontId="0" fillId="3" borderId="0" xfId="4" applyFont="1" applyFill="1" applyBorder="1" applyProtection="1">
      <protection locked="0"/>
    </xf>
    <xf numFmtId="0" fontId="2" fillId="0" borderId="0" xfId="0" applyFont="1" applyFill="1" applyBorder="1" applyAlignment="1" applyProtection="1">
      <alignment horizontal="center"/>
    </xf>
    <xf numFmtId="10" fontId="0" fillId="0" borderId="0" xfId="0" applyNumberFormat="1" applyFill="1" applyBorder="1" applyProtection="1"/>
    <xf numFmtId="0" fontId="16" fillId="0" borderId="0" xfId="0" applyFont="1" applyBorder="1" applyProtection="1"/>
    <xf numFmtId="0" fontId="17" fillId="0" borderId="0" xfId="0" applyFont="1" applyBorder="1" applyProtection="1"/>
    <xf numFmtId="0" fontId="6" fillId="8" borderId="2" xfId="0" applyFont="1" applyFill="1" applyBorder="1" applyAlignment="1" applyProtection="1">
      <alignment horizontal="center"/>
    </xf>
    <xf numFmtId="0" fontId="6" fillId="0" borderId="0" xfId="0" applyFont="1" applyFill="1" applyAlignment="1" applyProtection="1">
      <alignment horizontal="left"/>
    </xf>
    <xf numFmtId="0" fontId="0" fillId="0" borderId="6" xfId="0" applyFill="1" applyBorder="1" applyProtection="1"/>
    <xf numFmtId="0" fontId="13" fillId="0" borderId="6" xfId="0" applyFont="1" applyFill="1" applyBorder="1" applyProtection="1"/>
    <xf numFmtId="0" fontId="0" fillId="3" borderId="6" xfId="0" applyFill="1" applyBorder="1" applyProtection="1">
      <protection locked="0"/>
    </xf>
    <xf numFmtId="10" fontId="0" fillId="9" borderId="6" xfId="0" applyNumberFormat="1" applyFill="1" applyBorder="1" applyProtection="1">
      <protection locked="0"/>
    </xf>
    <xf numFmtId="10" fontId="0" fillId="3" borderId="6" xfId="0" applyNumberFormat="1" applyFill="1" applyBorder="1" applyProtection="1">
      <protection locked="0"/>
    </xf>
    <xf numFmtId="0" fontId="2" fillId="0" borderId="6" xfId="0" applyFont="1" applyFill="1" applyBorder="1" applyAlignment="1" applyProtection="1">
      <alignment horizontal="center"/>
    </xf>
    <xf numFmtId="0" fontId="0" fillId="0" borderId="6" xfId="0" applyBorder="1" applyProtection="1"/>
    <xf numFmtId="0" fontId="2" fillId="0" borderId="10" xfId="0" applyFont="1" applyBorder="1" applyProtection="1"/>
    <xf numFmtId="0" fontId="0" fillId="0" borderId="10" xfId="0" applyBorder="1" applyProtection="1"/>
    <xf numFmtId="0" fontId="13" fillId="0" borderId="10" xfId="0" applyFont="1" applyFill="1" applyBorder="1" applyProtection="1"/>
    <xf numFmtId="0" fontId="0" fillId="3" borderId="10" xfId="0" applyFill="1" applyBorder="1" applyProtection="1">
      <protection locked="0"/>
    </xf>
    <xf numFmtId="10" fontId="0" fillId="3" borderId="10" xfId="0" applyNumberFormat="1" applyFill="1" applyBorder="1" applyProtection="1">
      <protection locked="0"/>
    </xf>
    <xf numFmtId="0" fontId="0" fillId="0" borderId="10" xfId="0" applyFill="1" applyBorder="1" applyProtection="1"/>
    <xf numFmtId="0" fontId="2" fillId="0" borderId="10" xfId="0" applyFont="1" applyBorder="1" applyAlignment="1" applyProtection="1">
      <alignment horizontal="center"/>
    </xf>
    <xf numFmtId="0" fontId="2" fillId="0" borderId="0" xfId="0" applyFont="1" applyBorder="1" applyAlignment="1" applyProtection="1">
      <alignment horizontal="center"/>
    </xf>
    <xf numFmtId="0" fontId="2" fillId="0" borderId="10" xfId="0" applyFont="1" applyFill="1" applyBorder="1" applyAlignment="1" applyProtection="1">
      <alignment horizontal="center"/>
    </xf>
    <xf numFmtId="0" fontId="2" fillId="0" borderId="10" xfId="0" applyFont="1" applyFill="1" applyBorder="1" applyProtection="1"/>
    <xf numFmtId="0" fontId="12" fillId="0" borderId="10" xfId="0" applyFont="1" applyFill="1" applyBorder="1" applyProtection="1"/>
    <xf numFmtId="0" fontId="6" fillId="0" borderId="10" xfId="0" applyFont="1" applyFill="1" applyBorder="1" applyProtection="1"/>
    <xf numFmtId="0" fontId="2" fillId="0" borderId="11" xfId="0" applyFont="1" applyBorder="1" applyAlignment="1" applyProtection="1">
      <alignment horizontal="center"/>
    </xf>
    <xf numFmtId="0" fontId="2" fillId="0" borderId="11" xfId="0" applyFont="1" applyBorder="1" applyProtection="1"/>
    <xf numFmtId="0" fontId="0" fillId="0" borderId="11" xfId="0" applyFill="1" applyBorder="1" applyProtection="1"/>
    <xf numFmtId="0" fontId="0" fillId="3" borderId="11" xfId="0" applyFill="1" applyBorder="1" applyProtection="1">
      <protection locked="0"/>
    </xf>
    <xf numFmtId="10" fontId="0" fillId="4" borderId="7" xfId="4" applyNumberFormat="1" applyFont="1" applyFill="1" applyBorder="1" applyProtection="1"/>
    <xf numFmtId="166" fontId="0" fillId="4" borderId="8" xfId="4" applyNumberFormat="1" applyFont="1" applyFill="1" applyBorder="1" applyProtection="1"/>
    <xf numFmtId="166" fontId="0" fillId="4" borderId="9" xfId="4" applyNumberFormat="1" applyFont="1" applyFill="1" applyBorder="1" applyProtection="1"/>
    <xf numFmtId="0" fontId="1" fillId="0" borderId="0" xfId="0" applyFont="1" applyFill="1" applyProtection="1"/>
    <xf numFmtId="0" fontId="18" fillId="0" borderId="0" xfId="0" applyFont="1" applyFill="1" applyProtection="1"/>
    <xf numFmtId="0" fontId="1" fillId="0" borderId="0" xfId="0" applyFont="1" applyProtection="1"/>
    <xf numFmtId="0" fontId="2" fillId="0" borderId="0" xfId="0" quotePrefix="1" applyFont="1" applyFill="1" applyProtection="1"/>
    <xf numFmtId="166" fontId="0" fillId="4" borderId="3" xfId="4" applyNumberFormat="1" applyFont="1" applyFill="1" applyBorder="1" applyProtection="1"/>
    <xf numFmtId="0" fontId="1" fillId="0" borderId="0" xfId="0" applyFont="1" applyBorder="1" applyProtection="1"/>
    <xf numFmtId="164" fontId="13" fillId="0" borderId="0" xfId="4" applyNumberFormat="1" applyFont="1" applyFill="1" applyProtection="1"/>
    <xf numFmtId="10" fontId="13" fillId="0" borderId="0" xfId="4" applyNumberFormat="1" applyFont="1" applyFill="1" applyProtection="1"/>
    <xf numFmtId="0" fontId="13" fillId="0" borderId="0" xfId="0" applyFont="1" applyFill="1" applyAlignment="1" applyProtection="1">
      <alignment horizontal="right"/>
    </xf>
    <xf numFmtId="9" fontId="13" fillId="0" borderId="0" xfId="0" applyNumberFormat="1" applyFont="1" applyFill="1" applyProtection="1"/>
    <xf numFmtId="0" fontId="14" fillId="0" borderId="0" xfId="0" applyFont="1" applyBorder="1" applyProtection="1"/>
    <xf numFmtId="0" fontId="14" fillId="0" borderId="0" xfId="0" applyFont="1" applyProtection="1"/>
    <xf numFmtId="164" fontId="14" fillId="0" borderId="0" xfId="4" applyNumberFormat="1" applyFont="1" applyFill="1" applyProtection="1"/>
    <xf numFmtId="10" fontId="14" fillId="0" borderId="0" xfId="4" applyNumberFormat="1" applyFont="1" applyFill="1" applyProtection="1"/>
    <xf numFmtId="0" fontId="13" fillId="0" borderId="11" xfId="0" applyFont="1" applyFill="1" applyBorder="1" applyProtection="1"/>
    <xf numFmtId="10" fontId="0" fillId="3" borderId="11" xfId="0" applyNumberFormat="1" applyFill="1" applyBorder="1" applyProtection="1">
      <protection locked="0"/>
    </xf>
    <xf numFmtId="10" fontId="0" fillId="4" borderId="17" xfId="4" applyNumberFormat="1" applyFont="1" applyFill="1" applyBorder="1" applyProtection="1"/>
    <xf numFmtId="166" fontId="0" fillId="4" borderId="13" xfId="4" applyNumberFormat="1" applyFont="1" applyFill="1" applyBorder="1" applyProtection="1"/>
    <xf numFmtId="166" fontId="0" fillId="8" borderId="15" xfId="4" applyNumberFormat="1" applyFont="1" applyFill="1" applyBorder="1" applyProtection="1"/>
    <xf numFmtId="10" fontId="0" fillId="4" borderId="20" xfId="4" applyNumberFormat="1" applyFont="1" applyFill="1" applyBorder="1" applyProtection="1"/>
    <xf numFmtId="166" fontId="0" fillId="4" borderId="21" xfId="4" applyNumberFormat="1" applyFont="1" applyFill="1" applyBorder="1" applyProtection="1"/>
    <xf numFmtId="166" fontId="0" fillId="4" borderId="19" xfId="4" applyNumberFormat="1" applyFont="1" applyFill="1" applyBorder="1" applyProtection="1"/>
    <xf numFmtId="166" fontId="0" fillId="4" borderId="15" xfId="4" applyNumberFormat="1" applyFont="1" applyFill="1" applyBorder="1" applyProtection="1"/>
    <xf numFmtId="10" fontId="0" fillId="4" borderId="18" xfId="4" applyNumberFormat="1" applyFont="1" applyFill="1" applyBorder="1" applyProtection="1"/>
    <xf numFmtId="0" fontId="0" fillId="0" borderId="13" xfId="0" applyBorder="1" applyProtection="1"/>
    <xf numFmtId="0" fontId="0" fillId="0" borderId="15" xfId="0" applyFill="1" applyBorder="1" applyProtection="1"/>
    <xf numFmtId="166" fontId="0" fillId="4" borderId="14" xfId="4" applyNumberFormat="1" applyFont="1" applyFill="1" applyBorder="1" applyProtection="1"/>
    <xf numFmtId="166" fontId="0" fillId="4" borderId="16" xfId="4" applyNumberFormat="1" applyFont="1" applyFill="1" applyBorder="1" applyProtection="1"/>
    <xf numFmtId="164" fontId="13" fillId="0" borderId="0" xfId="0" applyNumberFormat="1" applyFont="1" applyFill="1" applyProtection="1"/>
    <xf numFmtId="10" fontId="13" fillId="0" borderId="0" xfId="4" applyNumberFormat="1" applyFont="1" applyProtection="1"/>
    <xf numFmtId="173" fontId="0" fillId="10" borderId="0" xfId="0" applyNumberFormat="1" applyFill="1" applyBorder="1" applyProtection="1">
      <protection locked="0"/>
    </xf>
    <xf numFmtId="173" fontId="6" fillId="10" borderId="10" xfId="0" applyNumberFormat="1" applyFont="1" applyFill="1" applyBorder="1" applyProtection="1">
      <protection locked="0"/>
    </xf>
    <xf numFmtId="173" fontId="0" fillId="10" borderId="10" xfId="0" applyNumberFormat="1" applyFill="1" applyBorder="1" applyProtection="1">
      <protection locked="0"/>
    </xf>
    <xf numFmtId="173" fontId="6" fillId="10" borderId="0" xfId="0" applyNumberFormat="1" applyFont="1" applyFill="1" applyBorder="1" applyProtection="1">
      <protection locked="0"/>
    </xf>
    <xf numFmtId="1" fontId="18" fillId="0" borderId="0" xfId="0" applyNumberFormat="1" applyFont="1" applyFill="1" applyAlignment="1" applyProtection="1">
      <alignment horizontal="center"/>
    </xf>
    <xf numFmtId="164" fontId="19" fillId="0" borderId="0" xfId="4" applyNumberFormat="1" applyFont="1" applyFill="1" applyProtection="1"/>
    <xf numFmtId="1" fontId="6" fillId="0" borderId="5" xfId="0" applyNumberFormat="1" applyFont="1" applyFill="1" applyBorder="1" applyAlignment="1" applyProtection="1">
      <alignment horizontal="center"/>
    </xf>
    <xf numFmtId="0" fontId="17" fillId="0" borderId="5" xfId="0" applyFont="1" applyFill="1" applyBorder="1" applyProtection="1"/>
    <xf numFmtId="164" fontId="17" fillId="0" borderId="5" xfId="4" applyNumberFormat="1" applyFont="1" applyFill="1" applyBorder="1" applyProtection="1"/>
    <xf numFmtId="0" fontId="17" fillId="0" borderId="5" xfId="0" applyFont="1" applyBorder="1" applyProtection="1"/>
    <xf numFmtId="1" fontId="12" fillId="0" borderId="0" xfId="4" applyNumberFormat="1" applyFont="1" applyFill="1" applyBorder="1" applyProtection="1"/>
    <xf numFmtId="171" fontId="12" fillId="0" borderId="5" xfId="0" applyNumberFormat="1" applyFont="1" applyFill="1" applyBorder="1" applyProtection="1"/>
    <xf numFmtId="171" fontId="12" fillId="0" borderId="0" xfId="0" applyNumberFormat="1" applyFont="1" applyProtection="1"/>
    <xf numFmtId="164" fontId="12" fillId="0" borderId="0" xfId="4" applyNumberFormat="1" applyFont="1" applyFill="1" applyBorder="1" applyProtection="1"/>
    <xf numFmtId="0" fontId="12" fillId="0" borderId="0" xfId="0" applyFont="1" applyBorder="1" applyProtection="1"/>
    <xf numFmtId="1" fontId="12" fillId="0" borderId="10" xfId="4" applyNumberFormat="1" applyFont="1" applyFill="1" applyBorder="1" applyProtection="1"/>
    <xf numFmtId="1" fontId="12" fillId="0" borderId="5" xfId="4" applyNumberFormat="1" applyFont="1" applyFill="1" applyBorder="1" applyProtection="1"/>
    <xf numFmtId="1" fontId="12" fillId="0" borderId="22" xfId="4" applyNumberFormat="1" applyFont="1" applyFill="1" applyBorder="1" applyProtection="1"/>
    <xf numFmtId="10" fontId="0" fillId="6" borderId="6" xfId="4" applyNumberFormat="1" applyFont="1" applyFill="1" applyBorder="1" applyProtection="1"/>
    <xf numFmtId="10" fontId="0" fillId="6" borderId="23" xfId="4" applyNumberFormat="1" applyFont="1" applyFill="1" applyBorder="1" applyProtection="1"/>
    <xf numFmtId="0" fontId="2" fillId="0" borderId="0" xfId="0" applyFont="1" applyFill="1" applyAlignment="1" applyProtection="1">
      <alignment vertical="top"/>
    </xf>
    <xf numFmtId="165" fontId="12" fillId="0" borderId="0" xfId="0" applyNumberFormat="1" applyFont="1" applyFill="1" applyAlignment="1" applyProtection="1">
      <alignment horizontal="center"/>
    </xf>
    <xf numFmtId="0" fontId="13" fillId="0" borderId="0" xfId="0" applyFont="1" applyFill="1" applyAlignment="1" applyProtection="1">
      <alignment horizontal="center"/>
    </xf>
    <xf numFmtId="170" fontId="13" fillId="0" borderId="0" xfId="0" applyNumberFormat="1" applyFont="1" applyFill="1" applyProtection="1"/>
    <xf numFmtId="0" fontId="6" fillId="5" borderId="0" xfId="0" applyFont="1" applyFill="1" applyProtection="1"/>
    <xf numFmtId="0" fontId="2" fillId="5" borderId="0" xfId="0" applyFont="1" applyFill="1" applyAlignment="1" applyProtection="1">
      <alignment horizontal="center"/>
    </xf>
    <xf numFmtId="0" fontId="0" fillId="0" borderId="0" xfId="0" applyFill="1" applyAlignment="1" applyProtection="1">
      <alignment horizontal="center"/>
    </xf>
    <xf numFmtId="0" fontId="0" fillId="0" borderId="0" xfId="0" applyFill="1" applyAlignment="1" applyProtection="1">
      <alignment horizontal="center" vertical="top"/>
    </xf>
    <xf numFmtId="9" fontId="0" fillId="0" borderId="0" xfId="0" applyNumberFormat="1" applyFill="1" applyProtection="1"/>
    <xf numFmtId="9" fontId="0" fillId="0" borderId="0" xfId="5" applyFont="1" applyFill="1" applyProtection="1"/>
    <xf numFmtId="166" fontId="6" fillId="6" borderId="0" xfId="4" applyNumberFormat="1" applyFont="1" applyFill="1" applyProtection="1"/>
    <xf numFmtId="0" fontId="20" fillId="0" borderId="0" xfId="0" applyFont="1" applyFill="1" applyProtection="1"/>
    <xf numFmtId="0" fontId="22" fillId="5" borderId="0" xfId="0" applyFont="1" applyFill="1" applyAlignment="1" applyProtection="1">
      <alignment horizontal="center"/>
    </xf>
    <xf numFmtId="0" fontId="13" fillId="7" borderId="0" xfId="0" applyFont="1" applyFill="1" applyAlignment="1" applyProtection="1">
      <alignment horizontal="right"/>
    </xf>
    <xf numFmtId="0" fontId="1" fillId="0" borderId="0" xfId="0" applyFont="1" applyFill="1" applyAlignment="1" applyProtection="1">
      <alignment vertical="center"/>
    </xf>
    <xf numFmtId="0" fontId="0" fillId="0" borderId="0" xfId="0" applyFill="1" applyAlignment="1" applyProtection="1">
      <alignment vertical="center"/>
    </xf>
    <xf numFmtId="10" fontId="0" fillId="4" borderId="2" xfId="4" applyNumberFormat="1" applyFont="1" applyFill="1" applyBorder="1" applyAlignment="1" applyProtection="1">
      <alignment vertical="center"/>
    </xf>
    <xf numFmtId="0" fontId="3" fillId="0" borderId="0" xfId="0" applyFont="1" applyFill="1" applyAlignment="1" applyProtection="1">
      <alignment horizontal="left" vertical="center"/>
    </xf>
    <xf numFmtId="0" fontId="6" fillId="0" borderId="0" xfId="0" applyFont="1" applyFill="1" applyAlignment="1" applyProtection="1">
      <alignment vertical="center"/>
    </xf>
    <xf numFmtId="0" fontId="14" fillId="0" borderId="0" xfId="0" applyFont="1" applyFill="1" applyAlignment="1" applyProtection="1">
      <alignment vertical="center"/>
    </xf>
    <xf numFmtId="0" fontId="2" fillId="5" borderId="0" xfId="0" applyFont="1" applyFill="1" applyAlignment="1" applyProtection="1">
      <alignment horizontal="center" vertical="center"/>
    </xf>
    <xf numFmtId="0" fontId="2" fillId="0" borderId="0" xfId="0" applyFont="1" applyFill="1" applyAlignment="1" applyProtection="1">
      <alignment vertical="center"/>
    </xf>
    <xf numFmtId="10" fontId="1" fillId="6" borderId="0" xfId="4" applyNumberFormat="1" applyFont="1" applyFill="1" applyAlignment="1" applyProtection="1">
      <alignment vertical="center"/>
    </xf>
    <xf numFmtId="9" fontId="0" fillId="0" borderId="0" xfId="4" applyFont="1" applyFill="1" applyBorder="1" applyProtection="1"/>
    <xf numFmtId="10" fontId="6" fillId="6" borderId="6" xfId="4" applyNumberFormat="1" applyFont="1" applyFill="1" applyBorder="1" applyProtection="1"/>
    <xf numFmtId="10" fontId="6" fillId="6" borderId="0" xfId="4" applyNumberFormat="1" applyFont="1" applyFill="1" applyBorder="1" applyProtection="1"/>
    <xf numFmtId="10" fontId="6" fillId="6" borderId="10" xfId="4" applyNumberFormat="1" applyFont="1" applyFill="1" applyBorder="1" applyProtection="1"/>
    <xf numFmtId="172" fontId="13" fillId="0" borderId="0" xfId="4" applyNumberFormat="1" applyFont="1" applyFill="1" applyBorder="1" applyProtection="1"/>
    <xf numFmtId="9" fontId="1" fillId="3" borderId="0" xfId="0" applyNumberFormat="1" applyFont="1" applyFill="1" applyProtection="1">
      <protection locked="0"/>
    </xf>
    <xf numFmtId="167" fontId="1" fillId="3" borderId="0" xfId="0" applyNumberFormat="1" applyFont="1" applyFill="1" applyProtection="1">
      <protection locked="0"/>
    </xf>
    <xf numFmtId="171" fontId="14" fillId="0" borderId="0" xfId="0" applyNumberFormat="1" applyFont="1" applyProtection="1"/>
    <xf numFmtId="164" fontId="14" fillId="0" borderId="0" xfId="4" applyNumberFormat="1" applyFont="1" applyProtection="1"/>
    <xf numFmtId="0" fontId="18" fillId="0" borderId="0" xfId="0" applyFont="1" applyFill="1" applyAlignment="1" applyProtection="1">
      <alignment horizontal="left"/>
    </xf>
    <xf numFmtId="10" fontId="1" fillId="3" borderId="0" xfId="0" applyNumberFormat="1" applyFont="1" applyFill="1" applyProtection="1">
      <protection locked="0"/>
    </xf>
    <xf numFmtId="0" fontId="1" fillId="3" borderId="0" xfId="0" applyFont="1" applyFill="1" applyProtection="1">
      <protection locked="0"/>
    </xf>
    <xf numFmtId="0" fontId="1" fillId="0" borderId="0" xfId="7"/>
    <xf numFmtId="0" fontId="1" fillId="0" borderId="0" xfId="7" applyFont="1"/>
    <xf numFmtId="0" fontId="23" fillId="0" borderId="0" xfId="0" applyFont="1" applyFill="1" applyAlignment="1" applyProtection="1">
      <alignment horizontal="center"/>
    </xf>
    <xf numFmtId="0" fontId="23" fillId="0" borderId="0" xfId="0" applyFont="1" applyFill="1" applyProtection="1"/>
    <xf numFmtId="10" fontId="13" fillId="7" borderId="0" xfId="4" applyNumberFormat="1" applyFont="1" applyFill="1" applyProtection="1"/>
    <xf numFmtId="0" fontId="13" fillId="7" borderId="0" xfId="0" applyFont="1" applyFill="1" applyProtection="1"/>
    <xf numFmtId="0" fontId="1" fillId="0" borderId="0" xfId="7" applyAlignment="1">
      <alignment vertical="top"/>
    </xf>
    <xf numFmtId="0" fontId="4" fillId="0" borderId="0" xfId="7" applyFont="1" applyAlignment="1">
      <alignment horizontal="center" vertical="center"/>
    </xf>
    <xf numFmtId="0" fontId="24" fillId="0" borderId="0" xfId="8"/>
    <xf numFmtId="0" fontId="24" fillId="0" borderId="0" xfId="8" quotePrefix="1" applyAlignment="1">
      <alignment horizontal="left"/>
    </xf>
    <xf numFmtId="0" fontId="24" fillId="0" borderId="0" xfId="8" quotePrefix="1"/>
    <xf numFmtId="0" fontId="6" fillId="6" borderId="0" xfId="0" applyFont="1" applyFill="1" applyAlignment="1" applyProtection="1">
      <alignment horizontal="center"/>
    </xf>
    <xf numFmtId="0" fontId="1" fillId="0" borderId="0" xfId="0" applyFont="1" applyFill="1" applyAlignment="1" applyProtection="1">
      <alignment horizontal="center"/>
    </xf>
    <xf numFmtId="0" fontId="21" fillId="0" borderId="0" xfId="0" applyFont="1" applyFill="1" applyAlignment="1" applyProtection="1">
      <alignment vertical="top"/>
    </xf>
    <xf numFmtId="0" fontId="12" fillId="0" borderId="0" xfId="0" applyFont="1" applyFill="1" applyAlignment="1" applyProtection="1">
      <alignment vertical="top"/>
    </xf>
    <xf numFmtId="0" fontId="6" fillId="10" borderId="0" xfId="0" applyFont="1" applyFill="1" applyAlignment="1" applyProtection="1">
      <alignment horizontal="center"/>
    </xf>
    <xf numFmtId="0" fontId="6" fillId="6" borderId="12" xfId="0" applyFont="1" applyFill="1" applyBorder="1" applyAlignment="1" applyProtection="1">
      <alignment horizontal="center"/>
    </xf>
  </cellXfs>
  <cellStyles count="9">
    <cellStyle name="Hipervínculo" xfId="8" builtinId="8"/>
    <cellStyle name="Neutral" xfId="1" builtinId="28" customBuiltin="1"/>
    <cellStyle name="Normal" xfId="0" builtinId="0"/>
    <cellStyle name="Normal 2" xfId="2"/>
    <cellStyle name="Normal 3" xfId="3"/>
    <cellStyle name="Normal 4" xfId="7"/>
    <cellStyle name="Percent 2" xfId="5"/>
    <cellStyle name="Porcentaje" xfId="4" builtinId="5"/>
    <cellStyle name="Total" xfId="6" builtinId="25" customBuiltin="1"/>
  </cellStyles>
  <dxfs count="26">
    <dxf>
      <font>
        <color theme="1"/>
      </font>
      <fill>
        <patternFill>
          <bgColor rgb="FFFFC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1"/>
      </font>
      <fill>
        <patternFill>
          <bgColor rgb="FFFFC000"/>
        </patternFill>
      </fill>
    </dxf>
    <dxf>
      <font>
        <color theme="0"/>
      </font>
      <fill>
        <patternFill>
          <bgColor rgb="FFFF0000"/>
        </patternFill>
      </fill>
    </dxf>
    <dxf>
      <font>
        <color theme="1"/>
      </font>
      <fill>
        <patternFill>
          <bgColor rgb="FFFFC000"/>
        </patternFill>
      </fill>
    </dxf>
    <dxf>
      <font>
        <color theme="1"/>
      </font>
      <fill>
        <patternFill>
          <bgColor rgb="FFFFC000"/>
        </patternFill>
      </fill>
    </dxf>
    <dxf>
      <font>
        <color theme="0"/>
      </font>
      <fill>
        <patternFill>
          <bgColor rgb="FFFF0000"/>
        </patternFill>
      </fill>
    </dxf>
  </dxfs>
  <tableStyles count="0" defaultTableStyle="TableStyleMedium2" defaultPivotStyle="PivotStyleLight16"/>
  <colors>
    <mruColors>
      <color rgb="FFCCFFFF"/>
      <color rgb="FF99FF33"/>
      <color rgb="FFCCCCFF"/>
      <color rgb="FFCC3300"/>
      <color rgb="FF660066"/>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RSE of Incidence Estimate (%)</a:t>
            </a:r>
          </a:p>
        </c:rich>
      </c:tx>
      <c:overlay val="0"/>
    </c:title>
    <c:autoTitleDeleted val="0"/>
    <c:plotArea>
      <c:layout/>
      <c:scatterChart>
        <c:scatterStyle val="smoothMarker"/>
        <c:varyColors val="0"/>
        <c:ser>
          <c:idx val="1"/>
          <c:order val="0"/>
          <c:spPr>
            <a:ln w="31750">
              <a:noFill/>
            </a:ln>
          </c:spPr>
          <c:marker>
            <c:symbol val="diamond"/>
            <c:size val="5"/>
            <c:spPr>
              <a:solidFill>
                <a:srgbClr val="FF0000"/>
              </a:solidFill>
              <a:ln>
                <a:noFill/>
              </a:ln>
            </c:spPr>
          </c:marker>
          <c:xVal>
            <c:numRef>
              <c:f>'Design Comparison'!$D$96:$BA$96</c:f>
              <c:numCache>
                <c:formatCode>0.00%</c:formatCode>
                <c:ptCount val="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#N/A</c:v>
                </c:pt>
                <c:pt idx="41">
                  <c:v>#N/A</c:v>
                </c:pt>
                <c:pt idx="42">
                  <c:v>#N/A</c:v>
                </c:pt>
                <c:pt idx="43">
                  <c:v>#N/A</c:v>
                </c:pt>
                <c:pt idx="44">
                  <c:v>4.5</c:v>
                </c:pt>
                <c:pt idx="45">
                  <c:v>#N/A</c:v>
                </c:pt>
                <c:pt idx="46">
                  <c:v>#N/A</c:v>
                </c:pt>
                <c:pt idx="47">
                  <c:v>#N/A</c:v>
                </c:pt>
                <c:pt idx="48">
                  <c:v>#N/A</c:v>
                </c:pt>
                <c:pt idx="49">
                  <c:v>#N/A</c:v>
                </c:pt>
              </c:numCache>
            </c:numRef>
          </c:xVal>
          <c:yVal>
            <c:numRef>
              <c:f>'Design Comparison'!$D$97:$BA$97</c:f>
              <c:numCache>
                <c:formatCode>0.00%</c:formatCode>
                <c:ptCount val="50"/>
                <c:pt idx="0">
                  <c:v>0.55174264455275102</c:v>
                </c:pt>
                <c:pt idx="1">
                  <c:v>0.46423946139365113</c:v>
                </c:pt>
                <c:pt idx="2">
                  <c:v>0.42752723457632719</c:v>
                </c:pt>
                <c:pt idx="3">
                  <c:v>0.37879177271858622</c:v>
                </c:pt>
                <c:pt idx="4">
                  <c:v>0.35991619698977256</c:v>
                </c:pt>
                <c:pt idx="5">
                  <c:v>0.32930832710575114</c:v>
                </c:pt>
                <c:pt idx="6">
                  <c:v>0.31469033747041969</c:v>
                </c:pt>
                <c:pt idx="7">
                  <c:v>0.30152156793964946</c:v>
                </c:pt>
                <c:pt idx="8">
                  <c:v>0.28984277363190286</c:v>
                </c:pt>
                <c:pt idx="9">
                  <c:v>0.27889104691871586</c:v>
                </c:pt>
                <c:pt idx="10">
                  <c:v>0.27687838908909956</c:v>
                </c:pt>
                <c:pt idx="11">
                  <c:v>0.27447309839861189</c:v>
                </c:pt>
                <c:pt idx="12">
                  <c:v>0.2727441666852603</c:v>
                </c:pt>
                <c:pt idx="13">
                  <c:v>0.27083600700816457</c:v>
                </c:pt>
                <c:pt idx="14">
                  <c:v>0.2687590587412963</c:v>
                </c:pt>
                <c:pt idx="15">
                  <c:v>0.26652513413176976</c:v>
                </c:pt>
                <c:pt idx="16">
                  <c:v>0.26414688330943931</c:v>
                </c:pt>
                <c:pt idx="17">
                  <c:v>0.26163742717360039</c:v>
                </c:pt>
                <c:pt idx="18">
                  <c:v>0.25901010975853206</c:v>
                </c:pt>
                <c:pt idx="19">
                  <c:v>0.25627833573407532</c:v>
                </c:pt>
                <c:pt idx="20">
                  <c:v>0.25777677933573306</c:v>
                </c:pt>
                <c:pt idx="21">
                  <c:v>0.25877966265031682</c:v>
                </c:pt>
                <c:pt idx="22">
                  <c:v>0.26335019895794448</c:v>
                </c:pt>
                <c:pt idx="23">
                  <c:v>0.27243403357608781</c:v>
                </c:pt>
                <c:pt idx="24">
                  <c:v>0.28248600842105498</c:v>
                </c:pt>
                <c:pt idx="25">
                  <c:v>0.28754414011875029</c:v>
                </c:pt>
                <c:pt idx="26">
                  <c:v>0.29877607636660186</c:v>
                </c:pt>
                <c:pt idx="27">
                  <c:v>0.30496439782146539</c:v>
                </c:pt>
                <c:pt idx="28">
                  <c:v>0.31438942790789226</c:v>
                </c:pt>
                <c:pt idx="29">
                  <c:v>0.32891972776271011</c:v>
                </c:pt>
                <c:pt idx="30">
                  <c:v>0.33689105385420798</c:v>
                </c:pt>
                <c:pt idx="31">
                  <c:v>0.35127661955641404</c:v>
                </c:pt>
                <c:pt idx="32">
                  <c:v>0.37588523141342817</c:v>
                </c:pt>
                <c:pt idx="33">
                  <c:v>0.3993596907837656</c:v>
                </c:pt>
                <c:pt idx="34">
                  <c:v>0.42165101174333225</c:v>
                </c:pt>
                <c:pt idx="35">
                  <c:v>0.45651020471492676</c:v>
                </c:pt>
                <c:pt idx="36">
                  <c:v>0.49403902923325327</c:v>
                </c:pt>
                <c:pt idx="37">
                  <c:v>0.51547275201504117</c:v>
                </c:pt>
                <c:pt idx="38">
                  <c:v>0.53926725199797432</c:v>
                </c:pt>
                <c:pt idx="39">
                  <c:v>0.56442950793810176</c:v>
                </c:pt>
                <c:pt idx="40">
                  <c:v>#N/A</c:v>
                </c:pt>
                <c:pt idx="41">
                  <c:v>#N/A</c:v>
                </c:pt>
                <c:pt idx="42">
                  <c:v>#N/A</c:v>
                </c:pt>
                <c:pt idx="43">
                  <c:v>#N/A</c:v>
                </c:pt>
                <c:pt idx="44">
                  <c:v>0.98570406194973281</c:v>
                </c:pt>
                <c:pt idx="45">
                  <c:v>#N/A</c:v>
                </c:pt>
                <c:pt idx="46">
                  <c:v>#N/A</c:v>
                </c:pt>
                <c:pt idx="47">
                  <c:v>#N/A</c:v>
                </c:pt>
                <c:pt idx="48">
                  <c:v>#N/A</c:v>
                </c:pt>
                <c:pt idx="49">
                  <c:v>#N/A</c:v>
                </c:pt>
              </c:numCache>
            </c:numRef>
          </c:yVal>
          <c:smooth val="1"/>
        </c:ser>
        <c:dLbls>
          <c:showLegendKey val="0"/>
          <c:showVal val="0"/>
          <c:showCatName val="0"/>
          <c:showSerName val="0"/>
          <c:showPercent val="0"/>
          <c:showBubbleSize val="0"/>
        </c:dLbls>
        <c:axId val="258411904"/>
        <c:axId val="158057600"/>
      </c:scatterChart>
      <c:valAx>
        <c:axId val="258411904"/>
        <c:scaling>
          <c:orientation val="minMax"/>
        </c:scaling>
        <c:delete val="0"/>
        <c:axPos val="b"/>
        <c:majorGridlines/>
        <c:minorGridlines/>
        <c:title>
          <c:tx>
            <c:rich>
              <a:bodyPr/>
              <a:lstStyle/>
              <a:p>
                <a:pPr>
                  <a:defRPr/>
                </a:pPr>
                <a:r>
                  <a:rPr lang="en-ZA"/>
                  <a:t>Design Label</a:t>
                </a:r>
              </a:p>
            </c:rich>
          </c:tx>
          <c:layout>
            <c:manualLayout>
              <c:xMode val="edge"/>
              <c:yMode val="edge"/>
              <c:x val="0.41896381734444427"/>
              <c:y val="0.91603774634102941"/>
            </c:manualLayout>
          </c:layout>
          <c:overlay val="0"/>
        </c:title>
        <c:numFmt formatCode="General"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58057600"/>
        <c:crosses val="autoZero"/>
        <c:crossBetween val="midCat"/>
      </c:valAx>
      <c:valAx>
        <c:axId val="158057600"/>
        <c:scaling>
          <c:orientation val="minMax"/>
        </c:scaling>
        <c:delete val="0"/>
        <c:axPos val="l"/>
        <c:majorGridlines/>
        <c:minorGridlines/>
        <c:numFmt formatCode="0%" sourceLinked="0"/>
        <c:majorTickMark val="out"/>
        <c:minorTickMark val="none"/>
        <c:tickLblPos val="nextTo"/>
        <c:crossAx val="258411904"/>
        <c:crosses val="autoZero"/>
        <c:crossBetween val="midCat"/>
      </c:valAx>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Indicative 95%</a:t>
            </a:r>
            <a:r>
              <a:rPr lang="en-US" baseline="0"/>
              <a:t> CI Limits for Incidence </a:t>
            </a:r>
            <a:endParaRPr lang="en-US"/>
          </a:p>
        </c:rich>
      </c:tx>
      <c:layout>
        <c:manualLayout>
          <c:xMode val="edge"/>
          <c:yMode val="edge"/>
          <c:x val="0.19220369190177428"/>
          <c:y val="2.5583535258888138E-2"/>
        </c:manualLayout>
      </c:layout>
      <c:overlay val="0"/>
    </c:title>
    <c:autoTitleDeleted val="0"/>
    <c:plotArea>
      <c:layout>
        <c:manualLayout>
          <c:layoutTarget val="inner"/>
          <c:xMode val="edge"/>
          <c:yMode val="edge"/>
          <c:x val="0.1177885498145496"/>
          <c:y val="0.1135953759044343"/>
          <c:w val="0.83572101602371462"/>
          <c:h val="0.74110291326674105"/>
        </c:manualLayout>
      </c:layout>
      <c:scatterChart>
        <c:scatterStyle val="smoothMarker"/>
        <c:varyColors val="0"/>
        <c:ser>
          <c:idx val="2"/>
          <c:order val="2"/>
          <c:spPr>
            <a:ln>
              <a:solidFill>
                <a:srgbClr val="FF0000"/>
              </a:solidFill>
            </a:ln>
          </c:spPr>
          <c:marker>
            <c:symbol val="none"/>
          </c:marker>
          <c:xVal>
            <c:numRef>
              <c:f>'Design Comparison'!$D$103:$D$104</c:f>
              <c:numCache>
                <c:formatCode>General</c:formatCode>
                <c:ptCount val="2"/>
                <c:pt idx="0">
                  <c:v>0</c:v>
                </c:pt>
                <c:pt idx="1">
                  <c:v>5</c:v>
                </c:pt>
              </c:numCache>
            </c:numRef>
          </c:xVal>
          <c:yVal>
            <c:numRef>
              <c:f>'Design Comparison'!$E$103:$E$104</c:f>
              <c:numCache>
                <c:formatCode>0.0%</c:formatCode>
                <c:ptCount val="2"/>
                <c:pt idx="0">
                  <c:v>1.4999999999999999E-2</c:v>
                </c:pt>
                <c:pt idx="1">
                  <c:v>1.4999999999999999E-2</c:v>
                </c:pt>
              </c:numCache>
            </c:numRef>
          </c:yVal>
          <c:smooth val="1"/>
        </c:ser>
        <c:dLbls>
          <c:showLegendKey val="0"/>
          <c:showVal val="0"/>
          <c:showCatName val="0"/>
          <c:showSerName val="0"/>
          <c:showPercent val="0"/>
          <c:showBubbleSize val="0"/>
        </c:dLbls>
        <c:axId val="258464000"/>
        <c:axId val="258470656"/>
      </c:scatterChart>
      <c:scatterChart>
        <c:scatterStyle val="lineMarker"/>
        <c:varyColors val="0"/>
        <c:ser>
          <c:idx val="0"/>
          <c:order val="0"/>
          <c:spPr>
            <a:ln w="28575">
              <a:noFill/>
            </a:ln>
          </c:spPr>
          <c:marker>
            <c:symbol val="diamond"/>
            <c:size val="4"/>
            <c:spPr>
              <a:solidFill>
                <a:srgbClr val="FF0000"/>
              </a:solidFill>
              <a:ln>
                <a:solidFill>
                  <a:srgbClr val="FF0000"/>
                </a:solidFill>
              </a:ln>
            </c:spPr>
          </c:marker>
          <c:xVal>
            <c:numRef>
              <c:f>'Design Comparison'!$D$96:$BA$96</c:f>
              <c:numCache>
                <c:formatCode>0.00%</c:formatCode>
                <c:ptCount val="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#N/A</c:v>
                </c:pt>
                <c:pt idx="41">
                  <c:v>#N/A</c:v>
                </c:pt>
                <c:pt idx="42">
                  <c:v>#N/A</c:v>
                </c:pt>
                <c:pt idx="43">
                  <c:v>#N/A</c:v>
                </c:pt>
                <c:pt idx="44">
                  <c:v>4.5</c:v>
                </c:pt>
                <c:pt idx="45">
                  <c:v>#N/A</c:v>
                </c:pt>
                <c:pt idx="46">
                  <c:v>#N/A</c:v>
                </c:pt>
                <c:pt idx="47">
                  <c:v>#N/A</c:v>
                </c:pt>
                <c:pt idx="48">
                  <c:v>#N/A</c:v>
                </c:pt>
                <c:pt idx="49">
                  <c:v>#N/A</c:v>
                </c:pt>
              </c:numCache>
            </c:numRef>
          </c:xVal>
          <c:yVal>
            <c:numRef>
              <c:f>'Design Comparison'!$D$99:$BA$99</c:f>
              <c:numCache>
                <c:formatCode>0.00%</c:formatCode>
                <c:ptCount val="50"/>
                <c:pt idx="0">
                  <c:v>-1.2209356808741481E-3</c:v>
                </c:pt>
                <c:pt idx="1">
                  <c:v>1.3516106319925655E-3</c:v>
                </c:pt>
                <c:pt idx="2">
                  <c:v>2.4309302673058749E-3</c:v>
                </c:pt>
                <c:pt idx="3">
                  <c:v>3.8637265174723406E-3</c:v>
                </c:pt>
                <c:pt idx="4">
                  <c:v>4.4186582467113378E-3</c:v>
                </c:pt>
                <c:pt idx="5">
                  <c:v>5.3185130859538885E-3</c:v>
                </c:pt>
                <c:pt idx="6">
                  <c:v>5.7482740841283304E-3</c:v>
                </c:pt>
                <c:pt idx="7">
                  <c:v>6.1354287941436016E-3</c:v>
                </c:pt>
                <c:pt idx="8">
                  <c:v>6.4787790375341221E-3</c:v>
                </c:pt>
                <c:pt idx="9">
                  <c:v>6.8007538864297001E-3</c:v>
                </c:pt>
                <c:pt idx="10">
                  <c:v>6.8599249393184562E-3</c:v>
                </c:pt>
                <c:pt idx="11">
                  <c:v>6.9306391862040372E-3</c:v>
                </c:pt>
                <c:pt idx="12">
                  <c:v>6.9814688445525106E-3</c:v>
                </c:pt>
                <c:pt idx="13">
                  <c:v>7.0375677082103981E-3</c:v>
                </c:pt>
                <c:pt idx="14">
                  <c:v>7.0986288652226184E-3</c:v>
                </c:pt>
                <c:pt idx="15">
                  <c:v>7.1643050419053639E-3</c:v>
                </c:pt>
                <c:pt idx="16">
                  <c:v>7.2342243312749216E-3</c:v>
                </c:pt>
                <c:pt idx="17">
                  <c:v>7.3080009859803315E-3</c:v>
                </c:pt>
                <c:pt idx="18">
                  <c:v>7.3852426986226634E-3</c:v>
                </c:pt>
                <c:pt idx="19">
                  <c:v>7.4655553791502204E-3</c:v>
                </c:pt>
                <c:pt idx="20">
                  <c:v>7.4215019467685165E-3</c:v>
                </c:pt>
                <c:pt idx="21">
                  <c:v>7.392017719109311E-3</c:v>
                </c:pt>
                <c:pt idx="22">
                  <c:v>7.2576464208145694E-3</c:v>
                </c:pt>
                <c:pt idx="23">
                  <c:v>6.9905865904183826E-3</c:v>
                </c:pt>
                <c:pt idx="24">
                  <c:v>6.6950639603738094E-3</c:v>
                </c:pt>
                <c:pt idx="25">
                  <c:v>6.5463576210256589E-3</c:v>
                </c:pt>
                <c:pt idx="26">
                  <c:v>6.2161447631890743E-3</c:v>
                </c:pt>
                <c:pt idx="27">
                  <c:v>6.0342114555447385E-3</c:v>
                </c:pt>
                <c:pt idx="28">
                  <c:v>5.7571206627056917E-3</c:v>
                </c:pt>
                <c:pt idx="29">
                  <c:v>5.3299376967055351E-3</c:v>
                </c:pt>
                <c:pt idx="30">
                  <c:v>5.0955850159801301E-3</c:v>
                </c:pt>
                <c:pt idx="31">
                  <c:v>4.6726571558767544E-3</c:v>
                </c:pt>
                <c:pt idx="32">
                  <c:v>3.9491772616376576E-3</c:v>
                </c:pt>
                <c:pt idx="33">
                  <c:v>3.2590408378015065E-3</c:v>
                </c:pt>
                <c:pt idx="34">
                  <c:v>2.6036880440729049E-3</c:v>
                </c:pt>
                <c:pt idx="35">
                  <c:v>1.5788466027560483E-3</c:v>
                </c:pt>
                <c:pt idx="36">
                  <c:v>4.75519436185394E-4</c:v>
                </c:pt>
                <c:pt idx="37">
                  <c:v>-1.5462043441840517E-4</c:v>
                </c:pt>
                <c:pt idx="38">
                  <c:v>-8.5416587936872415E-4</c:v>
                </c:pt>
                <c:pt idx="39">
                  <c:v>-1.5939226105551561E-3</c:v>
                </c:pt>
                <c:pt idx="40">
                  <c:v>#N/A</c:v>
                </c:pt>
                <c:pt idx="41">
                  <c:v>#N/A</c:v>
                </c:pt>
                <c:pt idx="42">
                  <c:v>#N/A</c:v>
                </c:pt>
                <c:pt idx="43">
                  <c:v>#N/A</c:v>
                </c:pt>
                <c:pt idx="44">
                  <c:v>-1.3979166912544711E-2</c:v>
                </c:pt>
                <c:pt idx="45">
                  <c:v>#N/A</c:v>
                </c:pt>
                <c:pt idx="46">
                  <c:v>#N/A</c:v>
                </c:pt>
                <c:pt idx="47">
                  <c:v>#N/A</c:v>
                </c:pt>
                <c:pt idx="48">
                  <c:v>#N/A</c:v>
                </c:pt>
                <c:pt idx="49">
                  <c:v>#N/A</c:v>
                </c:pt>
              </c:numCache>
            </c:numRef>
          </c:yVal>
          <c:smooth val="0"/>
        </c:ser>
        <c:ser>
          <c:idx val="1"/>
          <c:order val="1"/>
          <c:spPr>
            <a:ln w="28575">
              <a:noFill/>
            </a:ln>
          </c:spPr>
          <c:marker>
            <c:symbol val="diamond"/>
            <c:size val="4"/>
            <c:spPr>
              <a:solidFill>
                <a:srgbClr val="FF0000"/>
              </a:solidFill>
              <a:ln>
                <a:solidFill>
                  <a:srgbClr val="FF0000"/>
                </a:solidFill>
              </a:ln>
            </c:spPr>
          </c:marker>
          <c:xVal>
            <c:numRef>
              <c:f>'Design Comparison'!$D$96:$BA$96</c:f>
              <c:numCache>
                <c:formatCode>0.00%</c:formatCode>
                <c:ptCount val="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#N/A</c:v>
                </c:pt>
                <c:pt idx="41">
                  <c:v>#N/A</c:v>
                </c:pt>
                <c:pt idx="42">
                  <c:v>#N/A</c:v>
                </c:pt>
                <c:pt idx="43">
                  <c:v>#N/A</c:v>
                </c:pt>
                <c:pt idx="44">
                  <c:v>4.5</c:v>
                </c:pt>
                <c:pt idx="45">
                  <c:v>#N/A</c:v>
                </c:pt>
                <c:pt idx="46">
                  <c:v>#N/A</c:v>
                </c:pt>
                <c:pt idx="47">
                  <c:v>#N/A</c:v>
                </c:pt>
                <c:pt idx="48">
                  <c:v>#N/A</c:v>
                </c:pt>
                <c:pt idx="49">
                  <c:v>#N/A</c:v>
                </c:pt>
              </c:numCache>
            </c:numRef>
          </c:xVal>
          <c:yVal>
            <c:numRef>
              <c:f>'Design Comparison'!$D$100:$BA$100</c:f>
              <c:numCache>
                <c:formatCode>0.00%</c:formatCode>
                <c:ptCount val="50"/>
                <c:pt idx="0">
                  <c:v>3.1220935680874147E-2</c:v>
                </c:pt>
                <c:pt idx="1">
                  <c:v>2.8648389368007433E-2</c:v>
                </c:pt>
                <c:pt idx="2">
                  <c:v>2.7569069732694122E-2</c:v>
                </c:pt>
                <c:pt idx="3">
                  <c:v>2.6136273482527658E-2</c:v>
                </c:pt>
                <c:pt idx="4">
                  <c:v>2.5581341753288661E-2</c:v>
                </c:pt>
                <c:pt idx="5">
                  <c:v>2.4681486914046112E-2</c:v>
                </c:pt>
                <c:pt idx="6">
                  <c:v>2.4251725915871668E-2</c:v>
                </c:pt>
                <c:pt idx="7">
                  <c:v>2.3864571205856396E-2</c:v>
                </c:pt>
                <c:pt idx="8">
                  <c:v>2.3521220962465877E-2</c:v>
                </c:pt>
                <c:pt idx="9">
                  <c:v>2.3199246113570299E-2</c:v>
                </c:pt>
                <c:pt idx="10">
                  <c:v>2.3140075060681543E-2</c:v>
                </c:pt>
                <c:pt idx="11">
                  <c:v>2.3069360813795962E-2</c:v>
                </c:pt>
                <c:pt idx="12">
                  <c:v>2.301853115544749E-2</c:v>
                </c:pt>
                <c:pt idx="13">
                  <c:v>2.2962432291789601E-2</c:v>
                </c:pt>
                <c:pt idx="14">
                  <c:v>2.290137113477738E-2</c:v>
                </c:pt>
                <c:pt idx="15">
                  <c:v>2.2835694958094635E-2</c:v>
                </c:pt>
                <c:pt idx="16">
                  <c:v>2.2765775668725077E-2</c:v>
                </c:pt>
                <c:pt idx="17">
                  <c:v>2.2691999014019668E-2</c:v>
                </c:pt>
                <c:pt idx="18">
                  <c:v>2.2614757301377336E-2</c:v>
                </c:pt>
                <c:pt idx="19">
                  <c:v>2.2534444620849779E-2</c:v>
                </c:pt>
                <c:pt idx="20">
                  <c:v>2.2578498053231484E-2</c:v>
                </c:pt>
                <c:pt idx="21">
                  <c:v>2.2607982280890688E-2</c:v>
                </c:pt>
                <c:pt idx="22">
                  <c:v>2.2742353579185429E-2</c:v>
                </c:pt>
                <c:pt idx="23">
                  <c:v>2.3009413409581618E-2</c:v>
                </c:pt>
                <c:pt idx="24">
                  <c:v>2.330493603962619E-2</c:v>
                </c:pt>
                <c:pt idx="25">
                  <c:v>2.3453642378974342E-2</c:v>
                </c:pt>
                <c:pt idx="26">
                  <c:v>2.3783855236810925E-2</c:v>
                </c:pt>
                <c:pt idx="27">
                  <c:v>2.396578854445526E-2</c:v>
                </c:pt>
                <c:pt idx="28">
                  <c:v>2.4242879337294305E-2</c:v>
                </c:pt>
                <c:pt idx="29">
                  <c:v>2.4670062303294465E-2</c:v>
                </c:pt>
                <c:pt idx="30">
                  <c:v>2.4904414984019869E-2</c:v>
                </c:pt>
                <c:pt idx="31">
                  <c:v>2.5327342844123246E-2</c:v>
                </c:pt>
                <c:pt idx="32">
                  <c:v>2.6050822738362341E-2</c:v>
                </c:pt>
                <c:pt idx="33">
                  <c:v>2.6740959162198492E-2</c:v>
                </c:pt>
                <c:pt idx="34">
                  <c:v>2.7396311955927094E-2</c:v>
                </c:pt>
                <c:pt idx="35">
                  <c:v>2.8421153397243951E-2</c:v>
                </c:pt>
                <c:pt idx="36">
                  <c:v>2.9524480563814605E-2</c:v>
                </c:pt>
                <c:pt idx="37">
                  <c:v>3.0154620434418404E-2</c:v>
                </c:pt>
                <c:pt idx="38">
                  <c:v>3.0854165879368723E-2</c:v>
                </c:pt>
                <c:pt idx="39">
                  <c:v>3.1593922610555158E-2</c:v>
                </c:pt>
                <c:pt idx="40">
                  <c:v>#N/A</c:v>
                </c:pt>
                <c:pt idx="41">
                  <c:v>#N/A</c:v>
                </c:pt>
                <c:pt idx="42">
                  <c:v>#N/A</c:v>
                </c:pt>
                <c:pt idx="43">
                  <c:v>#N/A</c:v>
                </c:pt>
                <c:pt idx="44">
                  <c:v>4.3979166912544707E-2</c:v>
                </c:pt>
                <c:pt idx="45">
                  <c:v>#N/A</c:v>
                </c:pt>
                <c:pt idx="46">
                  <c:v>#N/A</c:v>
                </c:pt>
                <c:pt idx="47">
                  <c:v>#N/A</c:v>
                </c:pt>
                <c:pt idx="48">
                  <c:v>#N/A</c:v>
                </c:pt>
                <c:pt idx="49">
                  <c:v>#N/A</c:v>
                </c:pt>
              </c:numCache>
            </c:numRef>
          </c:yVal>
          <c:smooth val="0"/>
        </c:ser>
        <c:dLbls>
          <c:showLegendKey val="0"/>
          <c:showVal val="0"/>
          <c:showCatName val="0"/>
          <c:showSerName val="0"/>
          <c:showPercent val="0"/>
          <c:showBubbleSize val="0"/>
        </c:dLbls>
        <c:axId val="258464000"/>
        <c:axId val="258470656"/>
      </c:scatterChart>
      <c:valAx>
        <c:axId val="258464000"/>
        <c:scaling>
          <c:orientation val="minMax"/>
          <c:max val="5"/>
        </c:scaling>
        <c:delete val="0"/>
        <c:axPos val="b"/>
        <c:majorGridlines/>
        <c:minorGridlines/>
        <c:title>
          <c:tx>
            <c:rich>
              <a:bodyPr/>
              <a:lstStyle/>
              <a:p>
                <a:pPr>
                  <a:defRPr/>
                </a:pPr>
                <a:r>
                  <a:rPr lang="en-ZA"/>
                  <a:t>Design Label</a:t>
                </a:r>
              </a:p>
            </c:rich>
          </c:tx>
          <c:layout>
            <c:manualLayout>
              <c:xMode val="edge"/>
              <c:yMode val="edge"/>
              <c:x val="0.41896392873835975"/>
              <c:y val="0.9160376887349968"/>
            </c:manualLayout>
          </c:layout>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258470656"/>
        <c:crosses val="autoZero"/>
        <c:crossBetween val="midCat"/>
      </c:valAx>
      <c:valAx>
        <c:axId val="258470656"/>
        <c:scaling>
          <c:orientation val="minMax"/>
        </c:scaling>
        <c:delete val="0"/>
        <c:axPos val="l"/>
        <c:majorGridlines/>
        <c:minorGridlines/>
        <c:numFmt formatCode="0.00%;[Red]\-0.00%" sourceLinked="0"/>
        <c:majorTickMark val="out"/>
        <c:minorTickMark val="none"/>
        <c:tickLblPos val="nextTo"/>
        <c:crossAx val="258464000"/>
        <c:crosses val="autoZero"/>
        <c:crossBetween val="midCat"/>
      </c:valAx>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647699</xdr:colOff>
      <xdr:row>3</xdr:row>
      <xdr:rowOff>123816</xdr:rowOff>
    </xdr:from>
    <xdr:ext cx="11258551" cy="91601934"/>
    <xdr:sp macro="" textlink="">
      <xdr:nvSpPr>
        <xdr:cNvPr id="2" name="1 CuadroTexto"/>
        <xdr:cNvSpPr txBox="1"/>
      </xdr:nvSpPr>
      <xdr:spPr>
        <a:xfrm>
          <a:off x="647699" y="609591"/>
          <a:ext cx="11258551" cy="91601934"/>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indent="457200" algn="ctr">
            <a:lnSpc>
              <a:spcPct val="115000"/>
            </a:lnSpc>
            <a:spcAft>
              <a:spcPts val="0"/>
            </a:spcAft>
          </a:pPr>
          <a:endParaRPr lang="en-ZA" sz="800" b="1">
            <a:solidFill>
              <a:srgbClr val="000000"/>
            </a:solidFill>
            <a:effectLst/>
            <a:latin typeface="Times New Roman"/>
            <a:ea typeface="Calibri"/>
            <a:cs typeface="Arial"/>
          </a:endParaRPr>
        </a:p>
        <a:p>
          <a:pPr indent="457200" algn="ctr">
            <a:lnSpc>
              <a:spcPct val="115000"/>
            </a:lnSpc>
            <a:spcAft>
              <a:spcPts val="0"/>
            </a:spcAft>
          </a:pPr>
          <a:r>
            <a:rPr lang="en-ZA" sz="2400" b="1">
              <a:solidFill>
                <a:srgbClr val="000000"/>
              </a:solidFill>
              <a:effectLst/>
              <a:latin typeface="Times New Roman"/>
              <a:ea typeface="Calibri"/>
              <a:cs typeface="Arial"/>
            </a:rPr>
            <a:t>ABIE Toolbox Version 3</a:t>
          </a:r>
          <a:endParaRPr lang="en-US" sz="2400">
            <a:effectLst/>
            <a:latin typeface="+mn-lt"/>
            <a:ea typeface="SimSun"/>
            <a:cs typeface="Arial"/>
          </a:endParaRPr>
        </a:p>
        <a:p>
          <a:pPr indent="457200" algn="ctr">
            <a:lnSpc>
              <a:spcPct val="115000"/>
            </a:lnSpc>
            <a:spcAft>
              <a:spcPts val="0"/>
            </a:spcAft>
          </a:pPr>
          <a:endParaRPr lang="en-ZA" sz="800" b="1">
            <a:solidFill>
              <a:srgbClr val="000000"/>
            </a:solidFill>
            <a:effectLst/>
            <a:latin typeface="Times New Roman"/>
            <a:ea typeface="Calibri"/>
            <a:cs typeface="Arial"/>
          </a:endParaRPr>
        </a:p>
        <a:p>
          <a:pPr indent="457200" algn="ctr">
            <a:lnSpc>
              <a:spcPct val="115000"/>
            </a:lnSpc>
            <a:spcAft>
              <a:spcPts val="0"/>
            </a:spcAft>
          </a:pPr>
          <a:r>
            <a:rPr lang="en-ZA" sz="2400" b="1">
              <a:solidFill>
                <a:srgbClr val="000000"/>
              </a:solidFill>
              <a:effectLst/>
              <a:latin typeface="Times New Roman"/>
              <a:ea typeface="Calibri"/>
              <a:cs typeface="Arial"/>
            </a:rPr>
            <a:t> (Tools for Assay-Based Incidence Estimation)</a:t>
          </a:r>
          <a:endParaRPr lang="en-US" sz="2400">
            <a:effectLst/>
            <a:latin typeface="+mn-lt"/>
            <a:ea typeface="SimSun"/>
            <a:cs typeface="Arial"/>
          </a:endParaRPr>
        </a:p>
        <a:p>
          <a:pPr indent="457200">
            <a:lnSpc>
              <a:spcPct val="115000"/>
            </a:lnSpc>
            <a:spcAft>
              <a:spcPts val="0"/>
            </a:spcAft>
          </a:pPr>
          <a:r>
            <a:rPr lang="en-ZA" sz="2400" b="1">
              <a:solidFill>
                <a:srgbClr val="000000"/>
              </a:solidFill>
              <a:effectLst/>
              <a:latin typeface="Times New Roman"/>
              <a:ea typeface="Calibri"/>
              <a:cs typeface="Arial"/>
            </a:rPr>
            <a:t> </a:t>
          </a:r>
          <a:endParaRPr lang="en-US" sz="2400">
            <a:effectLst/>
            <a:latin typeface="+mn-lt"/>
            <a:ea typeface="SimSun"/>
            <a:cs typeface="Arial"/>
          </a:endParaRPr>
        </a:p>
        <a:p>
          <a:pPr indent="457200" algn="ctr">
            <a:lnSpc>
              <a:spcPct val="115000"/>
            </a:lnSpc>
            <a:spcAft>
              <a:spcPts val="0"/>
            </a:spcAft>
          </a:pPr>
          <a:r>
            <a:rPr lang="en-ZA" sz="1600">
              <a:solidFill>
                <a:srgbClr val="000000"/>
              </a:solidFill>
              <a:effectLst/>
              <a:latin typeface="Times New Roman"/>
              <a:ea typeface="Calibri"/>
              <a:cs typeface="Arial"/>
            </a:rPr>
            <a:t>Overall Release Note</a:t>
          </a:r>
          <a:endParaRPr lang="en-US" sz="1600">
            <a:effectLst/>
            <a:latin typeface="+mn-lt"/>
            <a:ea typeface="SimSun"/>
            <a:cs typeface="Arial"/>
          </a:endParaRPr>
        </a:p>
        <a:p>
          <a:pPr indent="457200" algn="ctr">
            <a:lnSpc>
              <a:spcPct val="115000"/>
            </a:lnSpc>
            <a:spcAft>
              <a:spcPts val="0"/>
            </a:spcAft>
          </a:pPr>
          <a:r>
            <a:rPr lang="en-ZA" sz="1600">
              <a:solidFill>
                <a:srgbClr val="000000"/>
              </a:solidFill>
              <a:effectLst/>
              <a:latin typeface="Times New Roman"/>
              <a:ea typeface="Calibri"/>
              <a:cs typeface="Arial"/>
            </a:rPr>
            <a:t>June 2015</a:t>
          </a:r>
          <a:endParaRPr lang="en-US" sz="1600">
            <a:effectLst/>
            <a:latin typeface="+mn-lt"/>
            <a:ea typeface="SimSun"/>
            <a:cs typeface="Arial"/>
          </a:endParaRPr>
        </a:p>
        <a:p>
          <a:pPr>
            <a:lnSpc>
              <a:spcPct val="115000"/>
            </a:lnSpc>
            <a:spcAft>
              <a:spcPts val="0"/>
            </a:spcAft>
          </a:pPr>
          <a:r>
            <a:rPr lang="en-ZA" sz="2400" b="1" i="1">
              <a:solidFill>
                <a:srgbClr val="000000"/>
              </a:solidFill>
              <a:effectLst/>
              <a:latin typeface="Times New Roman"/>
              <a:ea typeface="Calibri"/>
              <a:cs typeface="Arial"/>
            </a:rPr>
            <a:t> </a:t>
          </a:r>
          <a:endParaRPr lang="en-US" sz="2400">
            <a:effectLst/>
            <a:latin typeface="+mn-lt"/>
            <a:ea typeface="SimSun"/>
            <a:cs typeface="Arial"/>
          </a:endParaRPr>
        </a:p>
        <a:p>
          <a:pPr>
            <a:lnSpc>
              <a:spcPct val="115000"/>
            </a:lnSpc>
            <a:spcAft>
              <a:spcPts val="0"/>
            </a:spcAft>
          </a:pPr>
          <a:r>
            <a:rPr lang="en-ZA" sz="2400" b="1">
              <a:effectLst/>
              <a:latin typeface="Times New Roman"/>
              <a:ea typeface="Calibri"/>
              <a:cs typeface="Arial"/>
            </a:rPr>
            <a:t>Introduction to ABIE</a:t>
          </a:r>
        </a:p>
        <a:p>
          <a:pPr>
            <a:lnSpc>
              <a:spcPct val="115000"/>
            </a:lnSpc>
            <a:spcAft>
              <a:spcPts val="0"/>
            </a:spcAft>
          </a:pPr>
          <a:r>
            <a:rPr lang="en-ZA" sz="1600" u="none">
              <a:solidFill>
                <a:sysClr val="windowText" lastClr="000000"/>
              </a:solidFill>
              <a:effectLst/>
              <a:latin typeface="Times New Roman"/>
              <a:ea typeface="Calibri"/>
              <a:cs typeface="Arial"/>
            </a:rPr>
            <a:t>SACEMA (sacema.org) is </a:t>
          </a:r>
          <a:r>
            <a:rPr lang="en-ZA" sz="1600">
              <a:solidFill>
                <a:schemeClr val="tx1"/>
              </a:solidFill>
              <a:effectLst/>
              <a:latin typeface="Times New Roman"/>
              <a:ea typeface="Calibri"/>
              <a:cs typeface="Arial"/>
            </a:rPr>
            <a:t>releasing a major </a:t>
          </a:r>
          <a:r>
            <a:rPr lang="en-ZA" sz="1600">
              <a:effectLst/>
              <a:latin typeface="Times New Roman"/>
              <a:ea typeface="Calibri"/>
              <a:cs typeface="Arial"/>
            </a:rPr>
            <a:t>update to its</a:t>
          </a:r>
          <a:r>
            <a:rPr lang="en-ZA" sz="1600" baseline="0">
              <a:effectLst/>
              <a:latin typeface="Times New Roman"/>
              <a:ea typeface="Calibri"/>
              <a:cs typeface="Arial"/>
            </a:rPr>
            <a:t> </a:t>
          </a:r>
          <a:r>
            <a:rPr lang="en-ZA" sz="1600" i="1">
              <a:effectLst/>
              <a:latin typeface="Times New Roman"/>
              <a:ea typeface="Calibri"/>
              <a:cs typeface="Arial"/>
            </a:rPr>
            <a:t>Assay-Based Incidence Estimation </a:t>
          </a:r>
          <a:r>
            <a:rPr lang="en-ZA" sz="1600" i="0">
              <a:effectLst/>
              <a:latin typeface="Times New Roman"/>
              <a:ea typeface="Calibri"/>
              <a:cs typeface="Arial"/>
            </a:rPr>
            <a:t>(ABIE)</a:t>
          </a:r>
          <a:r>
            <a:rPr lang="en-ZA" sz="1600" i="0" baseline="0">
              <a:effectLst/>
              <a:latin typeface="Times New Roman"/>
              <a:ea typeface="Calibri"/>
              <a:cs typeface="Arial"/>
            </a:rPr>
            <a:t> t</a:t>
          </a:r>
          <a:r>
            <a:rPr lang="en-ZA" sz="1600">
              <a:effectLst/>
              <a:latin typeface="Times New Roman"/>
              <a:ea typeface="Calibri"/>
              <a:cs typeface="Arial"/>
            </a:rPr>
            <a:t>oolbox. </a:t>
          </a: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a:effectLst/>
              <a:latin typeface="Times New Roman"/>
              <a:ea typeface="Calibri"/>
              <a:cs typeface="Arial"/>
            </a:rPr>
            <a:t>The central concern in ABIE is the estimation of (presumably HIV) incidence through cross-sectional biomarker measurement – in particular, biomarkers supporting classification of cases (infections) as recently or non-recently acquired.  Although almost all attention paid to this topic is in the context of HIV epidemiology, the underlying concepts are in fact general, and they may, in time, find meaningful application to other chronic conditions. </a:t>
          </a:r>
        </a:p>
        <a:p>
          <a:pPr>
            <a:lnSpc>
              <a:spcPct val="115000"/>
            </a:lnSpc>
            <a:spcAft>
              <a:spcPts val="0"/>
            </a:spcAft>
          </a:pPr>
          <a:endParaRPr lang="en-US" sz="1600">
            <a:effectLst/>
            <a:latin typeface="+mn-lt"/>
            <a:ea typeface="Calibri"/>
            <a:cs typeface="Arial"/>
          </a:endParaRPr>
        </a:p>
        <a:p>
          <a:pPr>
            <a:lnSpc>
              <a:spcPct val="115000"/>
            </a:lnSpc>
            <a:spcAft>
              <a:spcPts val="0"/>
            </a:spcAft>
          </a:pPr>
          <a:r>
            <a:rPr lang="en-ZA" sz="1600">
              <a:effectLst/>
              <a:latin typeface="Times New Roman"/>
              <a:ea typeface="Calibri"/>
              <a:cs typeface="Arial"/>
            </a:rPr>
            <a:t>This set of spreadsheets (</a:t>
          </a:r>
          <a:r>
            <a:rPr lang="en-ZA" sz="1600">
              <a:effectLst/>
              <a:latin typeface="Times New Roman"/>
              <a:ea typeface="Calibri"/>
            </a:rPr>
            <a:t>“</a:t>
          </a:r>
          <a:r>
            <a:rPr lang="en-ZA" sz="1600">
              <a:effectLst/>
              <a:latin typeface="Times New Roman"/>
              <a:ea typeface="Calibri"/>
              <a:cs typeface="Arial"/>
            </a:rPr>
            <a:t>calculators</a:t>
          </a:r>
          <a:r>
            <a:rPr lang="en-ZA" sz="1600">
              <a:effectLst/>
              <a:latin typeface="Times New Roman"/>
              <a:ea typeface="Calibri"/>
              <a:cs typeface="Times New Roman"/>
            </a:rPr>
            <a:t>”</a:t>
          </a:r>
          <a:r>
            <a:rPr lang="en-ZA" sz="1600">
              <a:effectLst/>
              <a:latin typeface="Times New Roman"/>
              <a:ea typeface="Calibri"/>
              <a:cs typeface="Arial"/>
            </a:rPr>
            <a:t>) is freely available in open source, editable form, and as such comes without warranty, although great care has been taken to ensure correctness and stability.  Sheets are superficially locked to help prevent unintended edits, but can be unlocked without a password. They are distributed in Microsoft Excel (.xlsx) format.  As they rely only on simple formulas (i.e. no embedded visual basic or complex macros) they can be easily ported to other platforms. </a:t>
          </a:r>
          <a:endParaRPr lang="en-US" sz="1600">
            <a:effectLst/>
            <a:latin typeface="+mn-lt"/>
            <a:ea typeface="Calibri"/>
            <a:cs typeface="Arial"/>
          </a:endParaRPr>
        </a:p>
        <a:p>
          <a:pPr>
            <a:lnSpc>
              <a:spcPct val="115000"/>
            </a:lnSpc>
            <a:spcAft>
              <a:spcPts val="0"/>
            </a:spcAft>
          </a:pPr>
          <a:r>
            <a:rPr lang="en-ZA" sz="1600">
              <a:effectLst/>
              <a:latin typeface="Times New Roman"/>
              <a:ea typeface="Calibri"/>
              <a:cs typeface="Arial"/>
            </a:rPr>
            <a:t> </a:t>
          </a:r>
          <a:endParaRPr lang="en-US" sz="1600">
            <a:effectLst/>
            <a:latin typeface="+mn-lt"/>
            <a:ea typeface="Calibri"/>
            <a:cs typeface="Arial"/>
          </a:endParaRPr>
        </a:p>
        <a:p>
          <a:pPr>
            <a:lnSpc>
              <a:spcPct val="115000"/>
            </a:lnSpc>
            <a:spcAft>
              <a:spcPts val="0"/>
            </a:spcAft>
          </a:pPr>
          <a:r>
            <a:rPr lang="en-ZA" sz="1600">
              <a:effectLst/>
              <a:latin typeface="Times New Roman"/>
              <a:ea typeface="Calibri"/>
              <a:cs typeface="Arial"/>
            </a:rPr>
            <a:t>Potential users include:</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researchers planning, implementing, or analysing data from, major surveys</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officers in departments of health or statistical bureaux</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reviewers of protocols or articles</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product developers</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funders </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teachers/trainers and students</a:t>
          </a:r>
          <a:endParaRPr lang="en-US" sz="1600">
            <a:effectLst/>
            <a:latin typeface="+mn-lt"/>
            <a:ea typeface="Calibri"/>
            <a:cs typeface="Arial"/>
          </a:endParaRP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a:effectLst/>
              <a:latin typeface="Times New Roman"/>
              <a:ea typeface="Calibri"/>
              <a:cs typeface="Arial"/>
            </a:rPr>
            <a:t>The lack of any formal warranty notwithstanding, users are invited to contact SACEMA for assistance and are indeed requested to provide any notification of possible errors, or feedback about functionality. </a:t>
          </a:r>
        </a:p>
        <a:p>
          <a:pPr>
            <a:lnSpc>
              <a:spcPct val="115000"/>
            </a:lnSpc>
            <a:spcAft>
              <a:spcPts val="0"/>
            </a:spcAft>
          </a:pPr>
          <a:endParaRPr lang="en-ZA" sz="2400">
            <a:effectLst/>
            <a:latin typeface="Times New Roman"/>
            <a:ea typeface="Calibri"/>
            <a:cs typeface="Arial"/>
          </a:endParaRPr>
        </a:p>
        <a:p>
          <a:pPr>
            <a:lnSpc>
              <a:spcPct val="115000"/>
            </a:lnSpc>
            <a:spcAft>
              <a:spcPts val="0"/>
            </a:spcAft>
          </a:pPr>
          <a:r>
            <a:rPr lang="en-ZA" sz="2400" b="1">
              <a:effectLst/>
              <a:latin typeface="Times New Roman"/>
              <a:ea typeface="Calibri"/>
              <a:cs typeface="Arial"/>
            </a:rPr>
            <a:t>Overview of ABIE v3</a:t>
          </a:r>
        </a:p>
        <a:p>
          <a:pPr marL="0" marR="0" lvl="0" indent="0" defTabSz="914400" eaLnBrk="1" fontAlgn="auto" latinLnBrk="0" hangingPunct="1">
            <a:lnSpc>
              <a:spcPct val="115000"/>
            </a:lnSpc>
            <a:spcBef>
              <a:spcPts val="0"/>
            </a:spcBef>
            <a:spcAft>
              <a:spcPts val="0"/>
            </a:spcAft>
            <a:buClrTx/>
            <a:buSzTx/>
            <a:buFontTx/>
            <a:buNone/>
            <a:tabLst/>
            <a:defRPr/>
          </a:pPr>
          <a:r>
            <a:rPr kumimoji="0" lang="en-ZA" sz="1600" b="0" i="0" u="none" strike="noStrike" kern="0" cap="none" spc="0" normalizeH="0" baseline="0" noProof="0">
              <a:ln>
                <a:noFill/>
              </a:ln>
              <a:solidFill>
                <a:prstClr val="black"/>
              </a:solidFill>
              <a:effectLst/>
              <a:uLnTx/>
              <a:uFillTx/>
              <a:latin typeface="Times New Roman"/>
              <a:ea typeface="Calibri"/>
              <a:cs typeface="+mn-cs"/>
            </a:rPr>
            <a:t>June </a:t>
          </a:r>
          <a:r>
            <a:rPr kumimoji="0" lang="en-ZA" sz="1400" b="0" i="0" u="none" strike="noStrike" kern="0" cap="none" spc="0" normalizeH="0" baseline="0" noProof="0">
              <a:ln>
                <a:noFill/>
              </a:ln>
              <a:solidFill>
                <a:prstClr val="black"/>
              </a:solidFill>
              <a:effectLst/>
              <a:uLnTx/>
              <a:uFillTx/>
              <a:latin typeface="Times New Roman" panose="02020603050405020304" pitchFamily="18" charset="0"/>
              <a:ea typeface="Calibri"/>
              <a:cs typeface="Times New Roman" panose="02020603050405020304" pitchFamily="18" charset="0"/>
            </a:rPr>
            <a:t>2015 </a:t>
          </a:r>
          <a:r>
            <a:rPr kumimoji="0" lang="en-ZA" sz="1600" b="0" i="0" u="none" strike="noStrike" kern="0" cap="none" spc="0" normalizeH="0" baseline="0" noProof="0">
              <a:ln>
                <a:noFill/>
              </a:ln>
              <a:solidFill>
                <a:prstClr val="black"/>
              </a:solidFill>
              <a:effectLst/>
              <a:uLnTx/>
              <a:uFillTx/>
              <a:latin typeface="Times New Roman" panose="02020603050405020304" pitchFamily="18" charset="0"/>
              <a:ea typeface="Calibri"/>
              <a:cs typeface="Times New Roman" panose="02020603050405020304" pitchFamily="18" charset="0"/>
            </a:rPr>
            <a:t>marks the release of version 3 of the ABIE toolbox. </a:t>
          </a:r>
          <a:endPar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Calibri"/>
            <a:cs typeface="Times New Roman" panose="02020603050405020304" pitchFamily="18" charset="0"/>
          </a:endParaRPr>
        </a:p>
        <a:p>
          <a:pPr>
            <a:lnSpc>
              <a:spcPct val="115000"/>
            </a:lnSpc>
            <a:spcAft>
              <a:spcPts val="0"/>
            </a:spcAft>
          </a:pPr>
          <a:endParaRPr lang="en-ZA"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1600">
              <a:solidFill>
                <a:srgbClr val="000000"/>
              </a:solidFill>
              <a:effectLst/>
              <a:latin typeface="Times New Roman" panose="02020603050405020304" pitchFamily="18" charset="0"/>
              <a:ea typeface="Calibri"/>
              <a:cs typeface="Times New Roman" panose="02020603050405020304" pitchFamily="18" charset="0"/>
            </a:rPr>
            <a:t>In version 3, there are separate calculators (spreadsheet “workbooks”):</a:t>
          </a:r>
          <a:endParaRPr lang="en-US" sz="1600">
            <a:effectLst/>
            <a:latin typeface="Times New Roman" panose="02020603050405020304" pitchFamily="18" charset="0"/>
            <a:ea typeface="Times New Roman"/>
            <a:cs typeface="Times New Roman" panose="02020603050405020304" pitchFamily="18" charset="0"/>
          </a:endParaRPr>
        </a:p>
        <a:p>
          <a:pPr marL="342900" lvl="0" indent="-342900">
            <a:lnSpc>
              <a:spcPct val="115000"/>
            </a:lnSpc>
            <a:spcAft>
              <a:spcPts val="0"/>
            </a:spcAft>
            <a:buFont typeface="Symbol"/>
            <a:buChar char=""/>
            <a:tabLst>
              <a:tab pos="457200" algn="l"/>
            </a:tabLst>
          </a:pPr>
          <a:r>
            <a:rPr lang="en-ZA" sz="1600" b="1">
              <a:solidFill>
                <a:srgbClr val="000000"/>
              </a:solidFill>
              <a:effectLst/>
              <a:latin typeface="Times New Roman" panose="02020603050405020304" pitchFamily="18" charset="0"/>
              <a:ea typeface="Calibri"/>
              <a:cs typeface="Times New Roman" panose="02020603050405020304" pitchFamily="18" charset="0"/>
            </a:rPr>
            <a:t>Incidence_Prevalence_Calculator</a:t>
          </a:r>
          <a:r>
            <a:rPr lang="en-ZA" sz="1600">
              <a:solidFill>
                <a:srgbClr val="000000"/>
              </a:solidFill>
              <a:effectLst/>
              <a:latin typeface="Times New Roman" panose="02020603050405020304" pitchFamily="18" charset="0"/>
              <a:ea typeface="Calibri"/>
              <a:cs typeface="Times New Roman" panose="02020603050405020304" pitchFamily="18" charset="0"/>
            </a:rPr>
            <a:t> – produces a prevalence and incidence estimate from  a single cross-sectional survey</a:t>
          </a:r>
          <a:endParaRPr lang="en-US" sz="1600">
            <a:effectLst/>
            <a:latin typeface="Times New Roman" panose="02020603050405020304" pitchFamily="18" charset="0"/>
            <a:ea typeface="Times New Roman"/>
            <a:cs typeface="Times New Roman" panose="02020603050405020304" pitchFamily="18" charset="0"/>
          </a:endParaRPr>
        </a:p>
        <a:p>
          <a:pPr marL="342900" lvl="0" indent="-342900">
            <a:lnSpc>
              <a:spcPct val="115000"/>
            </a:lnSpc>
            <a:spcAft>
              <a:spcPts val="0"/>
            </a:spcAft>
            <a:buFont typeface="Symbol"/>
            <a:buChar char=""/>
            <a:tabLst>
              <a:tab pos="457200" algn="l"/>
            </a:tabLst>
          </a:pPr>
          <a:r>
            <a:rPr lang="en-ZA" sz="1600" b="1">
              <a:solidFill>
                <a:srgbClr val="000000"/>
              </a:solidFill>
              <a:effectLst/>
              <a:latin typeface="Times New Roman" panose="02020603050405020304" pitchFamily="18" charset="0"/>
              <a:ea typeface="Calibri"/>
              <a:cs typeface="Times New Roman" panose="02020603050405020304" pitchFamily="18" charset="0"/>
            </a:rPr>
            <a:t>Incidence_Difference_Calculator</a:t>
          </a:r>
          <a:r>
            <a:rPr lang="en-ZA" sz="1600">
              <a:solidFill>
                <a:srgbClr val="000000"/>
              </a:solidFill>
              <a:effectLst/>
              <a:latin typeface="Times New Roman" panose="02020603050405020304" pitchFamily="18" charset="0"/>
              <a:ea typeface="Calibri"/>
              <a:cs typeface="Times New Roman" panose="02020603050405020304" pitchFamily="18" charset="0"/>
            </a:rPr>
            <a:t>  – systematically compares incidence estimates from two cross-sectional surveys</a:t>
          </a:r>
          <a:endParaRPr lang="en-US" sz="1600">
            <a:effectLst/>
            <a:latin typeface="Times New Roman" panose="02020603050405020304" pitchFamily="18" charset="0"/>
            <a:ea typeface="Times New Roman"/>
            <a:cs typeface="Times New Roman" panose="02020603050405020304" pitchFamily="18" charset="0"/>
          </a:endParaRPr>
        </a:p>
        <a:p>
          <a:pPr marL="342900" lvl="0" indent="-342900">
            <a:lnSpc>
              <a:spcPct val="115000"/>
            </a:lnSpc>
            <a:spcAft>
              <a:spcPts val="0"/>
            </a:spcAft>
            <a:buFont typeface="Symbol"/>
            <a:buChar char=""/>
            <a:tabLst>
              <a:tab pos="457200" algn="l"/>
            </a:tabLst>
          </a:pPr>
          <a:r>
            <a:rPr lang="en-ZA" sz="1600" b="1">
              <a:solidFill>
                <a:srgbClr val="000000"/>
              </a:solidFill>
              <a:effectLst/>
              <a:latin typeface="Times New Roman" panose="02020603050405020304" pitchFamily="18" charset="0"/>
              <a:ea typeface="Calibri"/>
              <a:cs typeface="Times New Roman" panose="02020603050405020304" pitchFamily="18" charset="0"/>
            </a:rPr>
            <a:t>Sample_Size_Calculator </a:t>
          </a:r>
          <a:r>
            <a:rPr lang="en-ZA" sz="1600">
              <a:solidFill>
                <a:srgbClr val="000000"/>
              </a:solidFill>
              <a:effectLst/>
              <a:latin typeface="Times New Roman" panose="02020603050405020304" pitchFamily="18" charset="0"/>
              <a:ea typeface="Calibri"/>
              <a:cs typeface="Times New Roman" panose="02020603050405020304" pitchFamily="18" charset="0"/>
            </a:rPr>
            <a:t>–</a:t>
          </a:r>
          <a:r>
            <a:rPr lang="en-ZA" sz="1600" b="1">
              <a:solidFill>
                <a:srgbClr val="000000"/>
              </a:solidFill>
              <a:effectLst/>
              <a:latin typeface="Times New Roman" panose="02020603050405020304" pitchFamily="18" charset="0"/>
              <a:ea typeface="Calibri"/>
              <a:cs typeface="Times New Roman" panose="02020603050405020304" pitchFamily="18" charset="0"/>
            </a:rPr>
            <a:t> </a:t>
          </a:r>
          <a:r>
            <a:rPr lang="en-ZA" sz="1600">
              <a:solidFill>
                <a:srgbClr val="000000"/>
              </a:solidFill>
              <a:effectLst/>
              <a:latin typeface="Times New Roman" panose="02020603050405020304" pitchFamily="18" charset="0"/>
              <a:ea typeface="Calibri"/>
              <a:cs typeface="Times New Roman" panose="02020603050405020304" pitchFamily="18" charset="0"/>
            </a:rPr>
            <a:t>calculates a minimal sample size to provide desired </a:t>
          </a:r>
          <a:r>
            <a:rPr lang="en-ZA" sz="1600">
              <a:solidFill>
                <a:srgbClr val="000000"/>
              </a:solidFill>
              <a:effectLst/>
              <a:latin typeface="Times New Roman" panose="02020603050405020304" pitchFamily="18" charset="0"/>
              <a:ea typeface="Times New Roman"/>
              <a:cs typeface="Times New Roman" panose="02020603050405020304" pitchFamily="18" charset="0"/>
            </a:rPr>
            <a:t>precision of incidence estimate</a:t>
          </a:r>
          <a:r>
            <a:rPr lang="en-ZA" sz="1600" baseline="0">
              <a:solidFill>
                <a:srgbClr val="000000"/>
              </a:solidFill>
              <a:effectLst/>
              <a:latin typeface="Times New Roman" panose="02020603050405020304" pitchFamily="18" charset="0"/>
              <a:ea typeface="Times New Roman"/>
              <a:cs typeface="Times New Roman" panose="02020603050405020304" pitchFamily="18" charset="0"/>
            </a:rPr>
            <a:t> (</a:t>
          </a:r>
          <a:r>
            <a:rPr lang="en-ZA" sz="1600">
              <a:solidFill>
                <a:srgbClr val="000000"/>
              </a:solidFill>
              <a:effectLst/>
              <a:latin typeface="Times New Roman" panose="02020603050405020304" pitchFamily="18" charset="0"/>
              <a:ea typeface="Times New Roman"/>
              <a:cs typeface="Times New Roman" panose="02020603050405020304" pitchFamily="18" charset="0"/>
            </a:rPr>
            <a:t>in a hypothetical context) or “power” to detect a difference in incidence between two hypothetical contexts</a:t>
          </a:r>
          <a:endParaRPr lang="en-US" sz="1600">
            <a:effectLst/>
            <a:latin typeface="Times New Roman" panose="02020603050405020304" pitchFamily="18" charset="0"/>
            <a:ea typeface="Times New Roman"/>
            <a:cs typeface="Times New Roman" panose="02020603050405020304" pitchFamily="18" charset="0"/>
          </a:endParaRPr>
        </a:p>
        <a:p>
          <a:pPr marL="342900" lvl="0" indent="-342900">
            <a:lnSpc>
              <a:spcPct val="115000"/>
            </a:lnSpc>
            <a:spcAft>
              <a:spcPts val="0"/>
            </a:spcAft>
            <a:buFont typeface="Symbol"/>
            <a:buChar char=""/>
            <a:tabLst>
              <a:tab pos="457200" algn="l"/>
            </a:tabLst>
          </a:pPr>
          <a:r>
            <a:rPr lang="en-ZA" sz="1600" b="1">
              <a:solidFill>
                <a:srgbClr val="000000"/>
              </a:solidFill>
              <a:effectLst/>
              <a:latin typeface="Times New Roman" panose="02020603050405020304" pitchFamily="18" charset="0"/>
              <a:ea typeface="Calibri"/>
              <a:cs typeface="Times New Roman" panose="02020603050405020304" pitchFamily="18" charset="0"/>
            </a:rPr>
            <a:t>Power_Calculator </a:t>
          </a:r>
          <a:r>
            <a:rPr lang="en-ZA" sz="1600">
              <a:solidFill>
                <a:srgbClr val="000000"/>
              </a:solidFill>
              <a:effectLst/>
              <a:latin typeface="Times New Roman" panose="02020603050405020304" pitchFamily="18" charset="0"/>
              <a:ea typeface="Calibri"/>
              <a:cs typeface="Times New Roman" panose="02020603050405020304" pitchFamily="18" charset="0"/>
            </a:rPr>
            <a:t>–</a:t>
          </a:r>
          <a:r>
            <a:rPr lang="en-ZA" sz="1600" b="1">
              <a:solidFill>
                <a:srgbClr val="000000"/>
              </a:solidFill>
              <a:effectLst/>
              <a:latin typeface="Times New Roman" panose="02020603050405020304" pitchFamily="18" charset="0"/>
              <a:ea typeface="Calibri"/>
              <a:cs typeface="Times New Roman" panose="02020603050405020304" pitchFamily="18" charset="0"/>
            </a:rPr>
            <a:t> </a:t>
          </a:r>
          <a:r>
            <a:rPr lang="en-ZA" sz="1600">
              <a:solidFill>
                <a:srgbClr val="000000"/>
              </a:solidFill>
              <a:effectLst/>
              <a:latin typeface="Times New Roman" panose="02020603050405020304" pitchFamily="18" charset="0"/>
              <a:ea typeface="Calibri"/>
              <a:cs typeface="Times New Roman" panose="02020603050405020304" pitchFamily="18" charset="0"/>
            </a:rPr>
            <a:t>calculates “power” to detect a hypothetical incidence difference/trend </a:t>
          </a:r>
          <a:endParaRPr lang="en-US" sz="1600">
            <a:effectLst/>
            <a:latin typeface="Times New Roman" panose="02020603050405020304" pitchFamily="18" charset="0"/>
            <a:ea typeface="Times New Roman"/>
            <a:cs typeface="Times New Roman" panose="02020603050405020304" pitchFamily="18" charset="0"/>
          </a:endParaRPr>
        </a:p>
        <a:p>
          <a:pPr marL="342900" lvl="0" indent="-342900">
            <a:lnSpc>
              <a:spcPct val="115000"/>
            </a:lnSpc>
            <a:spcAft>
              <a:spcPts val="0"/>
            </a:spcAft>
            <a:buFont typeface="Symbol"/>
            <a:buChar char=""/>
            <a:tabLst>
              <a:tab pos="457200" algn="l"/>
            </a:tabLst>
          </a:pPr>
          <a:r>
            <a:rPr lang="en-ZA" sz="1600" b="1">
              <a:solidFill>
                <a:srgbClr val="000000"/>
              </a:solidFill>
              <a:effectLst/>
              <a:latin typeface="Times New Roman" panose="02020603050405020304" pitchFamily="18" charset="0"/>
              <a:ea typeface="Calibri"/>
              <a:cs typeface="Times New Roman" panose="02020603050405020304" pitchFamily="18" charset="0"/>
            </a:rPr>
            <a:t>Test_Performance_Calculator </a:t>
          </a:r>
          <a:r>
            <a:rPr lang="en-ZA" sz="1600">
              <a:solidFill>
                <a:srgbClr val="000000"/>
              </a:solidFill>
              <a:effectLst/>
              <a:latin typeface="Times New Roman" panose="02020603050405020304" pitchFamily="18" charset="0"/>
              <a:ea typeface="Calibri"/>
              <a:cs typeface="Times New Roman" panose="02020603050405020304" pitchFamily="18" charset="0"/>
            </a:rPr>
            <a:t>– summarises “performance” of a recent infection test (into a standard error of the incidence estimate), given estimated test properties and the prevalence/incidence in a hypothetical context </a:t>
          </a:r>
          <a:endParaRPr lang="en-US" sz="1600">
            <a:effectLst/>
            <a:latin typeface="Times New Roman" panose="02020603050405020304" pitchFamily="18" charset="0"/>
            <a:ea typeface="Times New Roman"/>
            <a:cs typeface="Times New Roman" panose="02020603050405020304" pitchFamily="18" charset="0"/>
          </a:endParaRPr>
        </a:p>
        <a:p>
          <a:pPr>
            <a:lnSpc>
              <a:spcPct val="115000"/>
            </a:lnSpc>
            <a:spcAft>
              <a:spcPts val="0"/>
            </a:spcAft>
          </a:pPr>
          <a:endParaRPr lang="en-ZA"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1600">
              <a:effectLst/>
              <a:latin typeface="Times New Roman" panose="02020603050405020304" pitchFamily="18" charset="0"/>
              <a:ea typeface="Calibri"/>
              <a:cs typeface="Times New Roman" panose="02020603050405020304" pitchFamily="18" charset="0"/>
            </a:rPr>
            <a:t>While each spreadsheet calculator tackles a narrow class of calculations, some spreadsheets enumerate various logically distinct cases, and offer multiple layers (“worksheets”) to provide relevant options, support sensitivity analysis, etc.  </a:t>
          </a:r>
          <a:r>
            <a:rPr lang="en-ZA" sz="1600">
              <a:effectLst/>
              <a:latin typeface="Times New Roman"/>
              <a:ea typeface="Calibri"/>
              <a:cs typeface="Arial"/>
            </a:rPr>
            <a:t>Each ABIE worksheet level tool is organised around the following principles:</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All cells which are not designated for data entry are locked by default. They can be unlocked without a password using the “unprotect sheet” functionality on the “review” tab.</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Cells, and text, are colour coded to indicate whether they represent input, intermediate results, primary output, or ancillary results. A colour key is provided in each relevant worksheet. </a:t>
          </a:r>
          <a:endParaRPr lang="en-US" sz="1600">
            <a:effectLst/>
            <a:latin typeface="+mn-lt"/>
            <a:ea typeface="Calibri"/>
            <a:cs typeface="Arial"/>
          </a:endParaRPr>
        </a:p>
        <a:p>
          <a:pPr>
            <a:lnSpc>
              <a:spcPct val="115000"/>
            </a:lnSpc>
            <a:spcAft>
              <a:spcPts val="0"/>
            </a:spcAft>
          </a:pPr>
          <a:endParaRPr lang="en-ZA"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kumimoji="0" lang="en-ZA" sz="1600" b="0" i="0" u="none" strike="noStrike" kern="0" cap="none" spc="0" normalizeH="0" baseline="0" noProof="0">
              <a:ln>
                <a:noFill/>
              </a:ln>
              <a:solidFill>
                <a:prstClr val="black"/>
              </a:solidFill>
              <a:effectLst/>
              <a:uLnTx/>
              <a:uFillTx/>
              <a:latin typeface="Times New Roman" panose="02020603050405020304" pitchFamily="18" charset="0"/>
              <a:ea typeface="Calibri"/>
              <a:cs typeface="Times New Roman" panose="02020603050405020304" pitchFamily="18" charset="0"/>
            </a:rPr>
            <a:t>Each calculator is accompanied by a non-technical “user guide”.  </a:t>
          </a:r>
          <a:r>
            <a:rPr lang="en-ZA" sz="1600">
              <a:effectLst/>
              <a:latin typeface="Times New Roman"/>
              <a:ea typeface="Calibri"/>
              <a:cs typeface="Arial"/>
            </a:rPr>
            <a:t>The user guides for each calculator are included in a dedicated worksheet. </a:t>
          </a:r>
          <a:endParaRPr lang="en-US" sz="1600">
            <a:effectLst/>
            <a:latin typeface="+mn-lt"/>
            <a:ea typeface="Calibri"/>
            <a:cs typeface="Arial"/>
          </a:endParaRPr>
        </a:p>
        <a:p>
          <a:pPr>
            <a:lnSpc>
              <a:spcPct val="115000"/>
            </a:lnSpc>
            <a:spcAft>
              <a:spcPts val="0"/>
            </a:spcAft>
          </a:pPr>
          <a:endParaRPr lang="en-ZA"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1600">
              <a:effectLst/>
              <a:latin typeface="Times New Roman" panose="02020603050405020304" pitchFamily="18" charset="0"/>
              <a:ea typeface="Calibri"/>
              <a:cs typeface="Times New Roman" panose="02020603050405020304" pitchFamily="18" charset="0"/>
            </a:rPr>
            <a:t>Little to no technical knowledge of the underlying statistical theory is required to use the calculators, but users need to be familiar with basic ideas around HIV epidemiology and the use of assays to establish recent vs non-recent HIV infection.  A technical document detailing the new formulas derived for the development of ABIE v3 is in preparation.</a:t>
          </a:r>
        </a:p>
        <a:p>
          <a:pPr>
            <a:lnSpc>
              <a:spcPct val="115000"/>
            </a:lnSpc>
            <a:spcAft>
              <a:spcPts val="0"/>
            </a:spcAft>
          </a:pPr>
          <a:endParaRPr lang="en-ZA"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1600">
              <a:effectLst/>
              <a:latin typeface="Times New Roman"/>
              <a:ea typeface="Calibri"/>
              <a:cs typeface="Arial"/>
            </a:rPr>
            <a:t>To support correct use of the tool, there are numerous warnings and error messages designed to appear in response to a variety of triggers. These messages are usually</a:t>
          </a:r>
          <a:r>
            <a:rPr lang="en-ZA" sz="1600" baseline="0">
              <a:effectLst/>
              <a:latin typeface="Times New Roman"/>
              <a:ea typeface="Calibri"/>
              <a:cs typeface="Arial"/>
            </a:rPr>
            <a:t> </a:t>
          </a:r>
          <a:r>
            <a:rPr lang="en-ZA" sz="1600">
              <a:effectLst/>
              <a:latin typeface="Times New Roman"/>
              <a:ea typeface="Calibri"/>
              <a:cs typeface="Arial"/>
            </a:rPr>
            <a:t>located in a column a little to the right of a cell which triggered them.  Within a given workbook, all of these messages are in a single column, though the column used varies between workbooks.  The messages column is indicated near the top of each workbook, and it is worth checking that this column is visible while inputs are being provided.</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a:ea typeface="Calibri"/>
              <a:cs typeface="Arial"/>
            </a:rPr>
            <a:t>Warnings</a:t>
          </a:r>
          <a:r>
            <a:rPr lang="en-ZA" sz="1600">
              <a:effectLst/>
              <a:latin typeface="Times New Roman"/>
              <a:ea typeface="Calibri"/>
              <a:cs typeface="Arial"/>
            </a:rPr>
            <a:t> highlight possible problems such as input parameters that are unlikely to be consistent with robust use of the tool. </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a:ea typeface="Calibri"/>
              <a:cs typeface="Arial"/>
            </a:rPr>
            <a:t>Errors</a:t>
          </a:r>
          <a:r>
            <a:rPr lang="en-ZA" sz="1600">
              <a:effectLst/>
              <a:latin typeface="Times New Roman"/>
              <a:ea typeface="Calibri"/>
              <a:cs typeface="Arial"/>
            </a:rPr>
            <a:t> indicate a fundamental breakdown in consistency, such as a greater number of recent HIV infections than HIV infections. In the case of an error, expected output is suppressed.</a:t>
          </a:r>
        </a:p>
        <a:p>
          <a:pPr marL="342900" lvl="0" indent="-342900">
            <a:lnSpc>
              <a:spcPct val="115000"/>
            </a:lnSpc>
            <a:spcAft>
              <a:spcPts val="0"/>
            </a:spcAft>
            <a:buFont typeface="Symbol"/>
            <a:buChar char=""/>
          </a:pPr>
          <a:endParaRPr lang="en-ZA" sz="1600">
            <a:effectLst/>
            <a:latin typeface="Times New Roman"/>
            <a:ea typeface="Calibri"/>
            <a:cs typeface="Arial"/>
          </a:endParaRPr>
        </a:p>
        <a:p>
          <a:pPr>
            <a:lnSpc>
              <a:spcPct val="115000"/>
            </a:lnSpc>
            <a:spcAft>
              <a:spcPts val="0"/>
            </a:spcAft>
          </a:pPr>
          <a:r>
            <a:rPr lang="en-ZA" sz="1600">
              <a:effectLst/>
              <a:latin typeface="Times New Roman"/>
              <a:ea typeface="Calibri"/>
              <a:cs typeface="Arial"/>
            </a:rPr>
            <a:t>Some sheets include dynamic charts intended to support interpretation of inputs and results.  Some sheets are entirely comprised of a single chart, derived from data supplied in another sheet, usually in a self-evident fashion, as documented in the associated user guide. There may be an entire sheet of intermediate results to populate the figure – this intermediate results worksheet will be hidden by default, but can be made visible without a password (</a:t>
          </a:r>
          <a:r>
            <a:rPr lang="en-ZA" sz="1600" i="1">
              <a:effectLst/>
              <a:latin typeface="Times New Roman"/>
              <a:ea typeface="Calibri"/>
              <a:cs typeface="Arial"/>
            </a:rPr>
            <a:t>home tab, cells toolbar, format button -&gt; </a:t>
          </a:r>
          <a:r>
            <a:rPr lang="en-ZA" sz="1600">
              <a:effectLst/>
              <a:latin typeface="Times New Roman"/>
              <a:ea typeface="Calibri"/>
              <a:cs typeface="Arial"/>
            </a:rPr>
            <a:t>drop down menu:</a:t>
          </a:r>
          <a:r>
            <a:rPr lang="en-ZA" sz="1600" i="1">
              <a:effectLst/>
              <a:latin typeface="Times New Roman"/>
              <a:ea typeface="Calibri"/>
              <a:cs typeface="Arial"/>
            </a:rPr>
            <a:t> hide &amp; unhide -&gt; </a:t>
          </a:r>
          <a:r>
            <a:rPr lang="en-ZA" sz="1600">
              <a:effectLst/>
              <a:latin typeface="Times New Roman"/>
              <a:ea typeface="Calibri"/>
              <a:cs typeface="Arial"/>
            </a:rPr>
            <a:t>secondary dropdown,</a:t>
          </a:r>
          <a:r>
            <a:rPr lang="en-ZA" sz="1600" i="1">
              <a:effectLst/>
              <a:latin typeface="Times New Roman"/>
              <a:ea typeface="Calibri"/>
              <a:cs typeface="Arial"/>
            </a:rPr>
            <a:t> unhide sheet</a:t>
          </a:r>
          <a:r>
            <a:rPr lang="en-ZA" sz="1600">
              <a:effectLst/>
              <a:latin typeface="Times New Roman"/>
              <a:ea typeface="Calibri"/>
              <a:cs typeface="Arial"/>
            </a:rPr>
            <a:t>).</a:t>
          </a:r>
          <a:endParaRPr lang="en-US" sz="1600">
            <a:effectLst/>
            <a:latin typeface="+mn-lt"/>
            <a:ea typeface="Calibri"/>
            <a:cs typeface="Arial"/>
          </a:endParaRPr>
        </a:p>
        <a:p>
          <a:pPr>
            <a:lnSpc>
              <a:spcPct val="115000"/>
            </a:lnSpc>
            <a:spcAft>
              <a:spcPts val="0"/>
            </a:spcAft>
          </a:pPr>
          <a:endParaRPr lang="en-ZA" sz="24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2400" b="1">
              <a:effectLst/>
              <a:latin typeface="Times New Roman" panose="02020603050405020304" pitchFamily="18" charset="0"/>
              <a:ea typeface="Calibri"/>
              <a:cs typeface="Times New Roman" panose="02020603050405020304" pitchFamily="18" charset="0"/>
            </a:rPr>
            <a:t>New Features</a:t>
          </a:r>
        </a:p>
        <a:p>
          <a:pPr>
            <a:lnSpc>
              <a:spcPct val="115000"/>
            </a:lnSpc>
            <a:spcAft>
              <a:spcPts val="0"/>
            </a:spcAft>
          </a:pPr>
          <a:r>
            <a:rPr lang="en-ZA" sz="1600">
              <a:effectLst/>
              <a:latin typeface="Times New Roman"/>
              <a:ea typeface="Calibri"/>
              <a:cs typeface="Arial"/>
            </a:rPr>
            <a:t>This new release (version 3) implements a number of notable updates:</a:t>
          </a:r>
          <a:endParaRPr lang="en-US" sz="1600">
            <a:effectLst/>
            <a:latin typeface="+mn-lt"/>
            <a:ea typeface="Calibri"/>
            <a:cs typeface="Arial"/>
          </a:endParaRPr>
        </a:p>
        <a:p>
          <a:pPr>
            <a:lnSpc>
              <a:spcPct val="115000"/>
            </a:lnSpc>
            <a:spcAft>
              <a:spcPts val="0"/>
            </a:spcAft>
          </a:pPr>
          <a:endParaRPr lang="en-US"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1600" b="1" u="sng">
              <a:effectLst/>
              <a:latin typeface="Times New Roman"/>
              <a:ea typeface="Calibri"/>
              <a:cs typeface="Arial"/>
            </a:rPr>
            <a:t>User-specified “design effects”</a:t>
          </a:r>
          <a:endParaRPr lang="en-US" sz="1600">
            <a:effectLst/>
            <a:latin typeface="+mn-lt"/>
            <a:ea typeface="Calibri"/>
            <a:cs typeface="Arial"/>
          </a:endParaRPr>
        </a:p>
        <a:p>
          <a:pPr>
            <a:lnSpc>
              <a:spcPct val="115000"/>
            </a:lnSpc>
            <a:spcAft>
              <a:spcPts val="0"/>
            </a:spcAft>
          </a:pPr>
          <a:r>
            <a:rPr lang="en-ZA" sz="1600">
              <a:effectLst/>
              <a:latin typeface="Times New Roman"/>
              <a:ea typeface="Calibri"/>
              <a:cs typeface="Arial"/>
            </a:rPr>
            <a:t>Users can now provide scale factors for variances which arise from multi-level (cluster) sampling (as opposed to independent individual level random sampling).  There is provision for adjusting uncertainty in estimates of</a:t>
          </a:r>
          <a:endParaRPr lang="en-US" sz="1600">
            <a:effectLst/>
            <a:latin typeface="+mn-lt"/>
            <a:ea typeface="Calibri"/>
            <a:cs typeface="Arial"/>
          </a:endParaRPr>
        </a:p>
        <a:p>
          <a:pPr marL="342900" lvl="0" indent="-342900">
            <a:lnSpc>
              <a:spcPct val="115000"/>
            </a:lnSpc>
            <a:spcAft>
              <a:spcPts val="0"/>
            </a:spcAft>
            <a:buFont typeface="+mj-lt"/>
            <a:buAutoNum type="arabicPeriod"/>
          </a:pPr>
          <a:r>
            <a:rPr lang="en-ZA" sz="1600">
              <a:effectLst/>
              <a:latin typeface="Times New Roman"/>
              <a:ea typeface="Calibri"/>
              <a:cs typeface="Arial"/>
            </a:rPr>
            <a:t>the proportion of HIV infected individuals (i.e. prevalence) and </a:t>
          </a:r>
          <a:endParaRPr lang="en-US" sz="1600">
            <a:effectLst/>
            <a:latin typeface="+mn-lt"/>
            <a:ea typeface="Calibri"/>
            <a:cs typeface="Arial"/>
          </a:endParaRPr>
        </a:p>
        <a:p>
          <a:pPr marL="342900" lvl="0" indent="-342900">
            <a:lnSpc>
              <a:spcPct val="115000"/>
            </a:lnSpc>
            <a:spcAft>
              <a:spcPts val="0"/>
            </a:spcAft>
            <a:buFont typeface="+mj-lt"/>
            <a:buAutoNum type="arabicPeriod"/>
          </a:pPr>
          <a:r>
            <a:rPr lang="en-ZA" sz="1600">
              <a:effectLst/>
              <a:latin typeface="Times New Roman"/>
              <a:ea typeface="Calibri"/>
              <a:cs typeface="Arial"/>
            </a:rPr>
            <a:t>the proportion of “recent” results among HIV positive individuals tested for recent infection.</a:t>
          </a:r>
          <a:endParaRPr lang="en-US" sz="1600">
            <a:effectLst/>
            <a:latin typeface="+mn-lt"/>
            <a:ea typeface="Calibri"/>
            <a:cs typeface="Arial"/>
          </a:endParaRPr>
        </a:p>
        <a:p>
          <a:pPr marL="31750">
            <a:lnSpc>
              <a:spcPct val="115000"/>
            </a:lnSpc>
            <a:spcAft>
              <a:spcPts val="0"/>
            </a:spcAft>
          </a:pPr>
          <a:endParaRPr lang="en-ZA" sz="1600">
            <a:effectLst/>
            <a:latin typeface="Times New Roman"/>
            <a:ea typeface="Calibri"/>
            <a:cs typeface="Arial"/>
          </a:endParaRPr>
        </a:p>
        <a:p>
          <a:pPr marL="31750">
            <a:lnSpc>
              <a:spcPct val="115000"/>
            </a:lnSpc>
            <a:spcAft>
              <a:spcPts val="0"/>
            </a:spcAft>
          </a:pPr>
          <a:r>
            <a:rPr lang="en-ZA" sz="1600">
              <a:effectLst/>
              <a:latin typeface="Times New Roman"/>
              <a:ea typeface="Calibri"/>
              <a:cs typeface="Arial"/>
            </a:rPr>
            <a:t>Additionally, the primary </a:t>
          </a:r>
          <a:r>
            <a:rPr lang="en-ZA" sz="1600" b="1" i="0">
              <a:effectLst/>
              <a:latin typeface="Times New Roman"/>
              <a:ea typeface="Calibri"/>
              <a:cs typeface="Arial"/>
            </a:rPr>
            <a:t>Incidence/Prevalence Calculator</a:t>
          </a:r>
          <a:r>
            <a:rPr lang="en-ZA" sz="1600">
              <a:effectLst/>
              <a:latin typeface="Times New Roman"/>
              <a:ea typeface="Calibri"/>
              <a:cs typeface="Arial"/>
            </a:rPr>
            <a:t>, which processes the proportions (of HIV infected, and “recently infected” individuals) obtained in a single cross-sectional survey, is also accompanied by a “global design effect” sensitivity analysis.</a:t>
          </a:r>
          <a:endParaRPr lang="en-US" sz="1600">
            <a:effectLst/>
            <a:latin typeface="+mn-lt"/>
            <a:ea typeface="Calibri"/>
            <a:cs typeface="Arial"/>
          </a:endParaRP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a:effectLst/>
              <a:latin typeface="Times New Roman"/>
              <a:ea typeface="Calibri"/>
              <a:cs typeface="Arial"/>
            </a:rPr>
            <a:t>It should be noted that: </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There is no clear consensus on approach, and there are no mature tools, for estimating the design effect parameters for population based HIV surveys. </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The design effects implemented in ABIE v3 are not just two places in formulas into which a single “design effect” should be inserted.  They are logically independent parameters, which capture the effects of statistically independent processes.</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The ABIE tools do not provide any functionality to derive or justify design effect estimates.</a:t>
          </a:r>
          <a:endParaRPr lang="en-US" sz="1600">
            <a:effectLst/>
            <a:latin typeface="+mn-lt"/>
            <a:ea typeface="Calibri"/>
            <a:cs typeface="Arial"/>
          </a:endParaRPr>
        </a:p>
        <a:p>
          <a:pPr marL="342900" lvl="0" indent="-342900">
            <a:lnSpc>
              <a:spcPct val="115000"/>
            </a:lnSpc>
            <a:spcAft>
              <a:spcPts val="0"/>
            </a:spcAft>
            <a:buFont typeface="Symbol"/>
            <a:buChar char=""/>
          </a:pPr>
          <a:r>
            <a:rPr lang="en-ZA" sz="1600">
              <a:effectLst/>
              <a:latin typeface="Times New Roman"/>
              <a:ea typeface="Calibri"/>
              <a:cs typeface="Arial"/>
            </a:rPr>
            <a:t>It is not appropriate to scale the variances of the test property (MDRI and FRR) estimates, as these are not estimated in the incidence survey, but rather arise in the recency test development process.</a:t>
          </a:r>
          <a:endParaRPr lang="en-US" sz="1600">
            <a:effectLst/>
            <a:latin typeface="+mn-lt"/>
            <a:ea typeface="Calibri"/>
            <a:cs typeface="Arial"/>
          </a:endParaRP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b="1" u="sng">
              <a:effectLst/>
              <a:latin typeface="Times New Roman"/>
              <a:ea typeface="Calibri"/>
              <a:cs typeface="Arial"/>
            </a:rPr>
            <a:t>Improved functionality for comparing incidence estimates from two surveys </a:t>
          </a:r>
          <a:endParaRPr lang="en-US" sz="1600">
            <a:effectLst/>
            <a:latin typeface="+mn-lt"/>
            <a:ea typeface="Calibri"/>
            <a:cs typeface="Arial"/>
          </a:endParaRPr>
        </a:p>
        <a:p>
          <a:pPr>
            <a:lnSpc>
              <a:spcPct val="115000"/>
            </a:lnSpc>
            <a:spcAft>
              <a:spcPts val="0"/>
            </a:spcAft>
          </a:pPr>
          <a:r>
            <a:rPr lang="en-ZA" sz="1600">
              <a:effectLst/>
              <a:latin typeface="Times New Roman"/>
              <a:ea typeface="Calibri"/>
              <a:cs typeface="Arial"/>
            </a:rPr>
            <a:t>There are some nuances around the interpretation of two (or more) cross-sectional recency-biomarker surveys, for example, to estimate an incidence trend in a population.</a:t>
          </a:r>
          <a:r>
            <a:rPr lang="en-ZA" sz="1600" b="1">
              <a:effectLst/>
              <a:latin typeface="Times New Roman"/>
              <a:ea typeface="Calibri"/>
              <a:cs typeface="Arial"/>
            </a:rPr>
            <a:t> </a:t>
          </a:r>
          <a:endParaRPr lang="en-US" sz="1600">
            <a:effectLst/>
            <a:latin typeface="+mn-lt"/>
            <a:ea typeface="Calibri"/>
            <a:cs typeface="Arial"/>
          </a:endParaRP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a:effectLst/>
              <a:latin typeface="Times New Roman"/>
              <a:ea typeface="Calibri"/>
              <a:cs typeface="Arial"/>
            </a:rPr>
            <a:t>The </a:t>
          </a:r>
          <a:r>
            <a:rPr lang="en-ZA" sz="1600" b="1">
              <a:effectLst/>
              <a:latin typeface="Times New Roman"/>
              <a:ea typeface="Calibri"/>
              <a:cs typeface="Arial"/>
            </a:rPr>
            <a:t>assumptions around similarity of contexts for two surveys </a:t>
          </a:r>
          <a:r>
            <a:rPr lang="en-ZA" sz="1600">
              <a:effectLst/>
              <a:latin typeface="Times New Roman"/>
              <a:ea typeface="Calibri"/>
              <a:cs typeface="Arial"/>
            </a:rPr>
            <a:t>have been made more flexible.  It is now possible to treat estimates of MDRI and FRR to be fully shared, or fully independent, between two surveys.  Alternatively, MDRI estimates can be shared while FRR estimates are independent.  Also, a more flexible </a:t>
          </a:r>
          <a:r>
            <a:rPr lang="en-ZA" sz="1600" i="1">
              <a:effectLst/>
              <a:latin typeface="Times New Roman"/>
              <a:ea typeface="Calibri"/>
              <a:cs typeface="Arial"/>
            </a:rPr>
            <a:t>null hypothesis</a:t>
          </a:r>
          <a:r>
            <a:rPr lang="en-ZA" sz="1600">
              <a:effectLst/>
              <a:latin typeface="Times New Roman"/>
              <a:ea typeface="Calibri"/>
              <a:cs typeface="Arial"/>
            </a:rPr>
            <a:t> has been implemented to calculate power and p values.</a:t>
          </a:r>
          <a:endParaRPr lang="en-US" sz="1600">
            <a:effectLst/>
            <a:latin typeface="+mn-lt"/>
            <a:ea typeface="Calibri"/>
            <a:cs typeface="Arial"/>
          </a:endParaRPr>
        </a:p>
        <a:p>
          <a:pPr>
            <a:lnSpc>
              <a:spcPct val="115000"/>
            </a:lnSpc>
            <a:spcAft>
              <a:spcPts val="0"/>
            </a:spcAft>
          </a:pPr>
          <a:endParaRPr lang="en-ZA" sz="1600" b="1">
            <a:effectLst/>
            <a:latin typeface="Times New Roman"/>
            <a:ea typeface="Calibri"/>
            <a:cs typeface="Arial"/>
          </a:endParaRPr>
        </a:p>
        <a:p>
          <a:pPr>
            <a:lnSpc>
              <a:spcPct val="115000"/>
            </a:lnSpc>
            <a:spcAft>
              <a:spcPts val="0"/>
            </a:spcAft>
          </a:pPr>
          <a:r>
            <a:rPr lang="en-ZA" sz="1600" b="0">
              <a:effectLst/>
              <a:latin typeface="Times New Roman"/>
              <a:ea typeface="Calibri"/>
              <a:cs typeface="Arial"/>
            </a:rPr>
            <a:t>The</a:t>
          </a:r>
          <a:r>
            <a:rPr lang="en-ZA" sz="1600" b="1">
              <a:effectLst/>
              <a:latin typeface="Times New Roman"/>
              <a:ea typeface="Calibri"/>
              <a:cs typeface="Arial"/>
            </a:rPr>
            <a:t> incidence ratio test </a:t>
          </a:r>
          <a:r>
            <a:rPr lang="en-ZA" sz="1600">
              <a:effectLst/>
              <a:latin typeface="Times New Roman"/>
              <a:ea typeface="Calibri"/>
              <a:cs typeface="Arial"/>
            </a:rPr>
            <a:t>raises numerous subtleties in relation to the difference test, which are difficult to resolve within the limitations of a simple formula based spreadsheet, and so this feature is no longer explicitly implemented. </a:t>
          </a:r>
          <a:endParaRPr lang="en-US" sz="1600">
            <a:effectLst/>
            <a:latin typeface="+mn-lt"/>
            <a:ea typeface="Calibri"/>
            <a:cs typeface="Arial"/>
          </a:endParaRP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b="1" u="sng">
              <a:effectLst/>
              <a:latin typeface="Times New Roman"/>
              <a:ea typeface="Calibri"/>
              <a:cs typeface="Arial"/>
            </a:rPr>
            <a:t>Consistent handling of incomplete “recency status” ascertainment</a:t>
          </a:r>
          <a:endParaRPr lang="en-US" sz="1600">
            <a:effectLst/>
            <a:latin typeface="+mn-lt"/>
            <a:ea typeface="Calibri"/>
            <a:cs typeface="Arial"/>
          </a:endParaRPr>
        </a:p>
        <a:p>
          <a:pPr>
            <a:lnSpc>
              <a:spcPct val="115000"/>
            </a:lnSpc>
            <a:spcAft>
              <a:spcPts val="0"/>
            </a:spcAft>
          </a:pPr>
          <a:r>
            <a:rPr lang="en-ZA" sz="1600">
              <a:effectLst/>
              <a:latin typeface="Times New Roman"/>
              <a:ea typeface="Calibri"/>
              <a:cs typeface="Arial"/>
            </a:rPr>
            <a:t>Previously, only the primary </a:t>
          </a:r>
          <a:r>
            <a:rPr lang="en-ZA" sz="1600" b="1">
              <a:effectLst/>
              <a:latin typeface="Times New Roman"/>
              <a:ea typeface="Calibri"/>
              <a:cs typeface="Arial"/>
            </a:rPr>
            <a:t>Incidence/Prevalence Calculator </a:t>
          </a:r>
          <a:r>
            <a:rPr lang="en-ZA" sz="1600">
              <a:effectLst/>
              <a:latin typeface="Times New Roman"/>
              <a:ea typeface="Calibri"/>
              <a:cs typeface="Arial"/>
            </a:rPr>
            <a:t>had the option of explicitly reporting how many of the HIV positive subjects had a successfully obtained recency test result (it should always be the vast majority).  This option is now available in each calculator.  The implementation of this “fix” should not be confused with some kind of non-trivial “multiple imputation” which is sometimes used to paper over simple missing data.</a:t>
          </a: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b="1" u="sng">
              <a:effectLst/>
              <a:latin typeface="Times New Roman"/>
              <a:ea typeface="Calibri"/>
              <a:cs typeface="Arial"/>
            </a:rPr>
            <a:t>Improved nomenclature </a:t>
          </a:r>
          <a:endParaRPr lang="en-US" sz="1600">
            <a:effectLst/>
            <a:latin typeface="+mn-lt"/>
            <a:ea typeface="Calibri"/>
            <a:cs typeface="Arial"/>
          </a:endParaRPr>
        </a:p>
        <a:p>
          <a:pPr>
            <a:lnSpc>
              <a:spcPct val="115000"/>
            </a:lnSpc>
            <a:spcAft>
              <a:spcPts val="0"/>
            </a:spcAft>
          </a:pPr>
          <a:r>
            <a:rPr lang="en-ZA" sz="1600">
              <a:effectLst/>
              <a:latin typeface="Times New Roman"/>
              <a:ea typeface="Calibri"/>
              <a:cs typeface="Arial"/>
            </a:rPr>
            <a:t>Previous versions referred to “</a:t>
          </a:r>
          <a:r>
            <a:rPr lang="en-ZA" sz="1600" i="1">
              <a:effectLst/>
              <a:latin typeface="Times New Roman"/>
              <a:ea typeface="Calibri"/>
              <a:cs typeface="Arial"/>
            </a:rPr>
            <a:t>coefficient of variation</a:t>
          </a:r>
          <a:r>
            <a:rPr lang="en-ZA" sz="1600">
              <a:effectLst/>
              <a:latin typeface="Times New Roman"/>
              <a:ea typeface="Calibri"/>
              <a:cs typeface="Arial"/>
            </a:rPr>
            <a:t>” both as a user-provided measure of precision in estimates of such parameters as test properties (MDRI and FRR) and also as a spreadsheet-computed metric of precision of estimates of incidence.  This is now referred to as “</a:t>
          </a:r>
          <a:r>
            <a:rPr lang="en-ZA" sz="1600" i="1">
              <a:effectLst/>
              <a:latin typeface="Times New Roman"/>
              <a:ea typeface="Calibri"/>
              <a:cs typeface="Arial"/>
            </a:rPr>
            <a:t>relative standard error</a:t>
          </a:r>
          <a:r>
            <a:rPr lang="en-ZA" sz="1600">
              <a:effectLst/>
              <a:latin typeface="Times New Roman"/>
              <a:ea typeface="Calibri"/>
              <a:cs typeface="Arial"/>
            </a:rPr>
            <a:t>”, in line with more conventional usage.</a:t>
          </a:r>
          <a:endParaRPr lang="en-US" sz="1600">
            <a:effectLst/>
            <a:latin typeface="+mn-lt"/>
            <a:ea typeface="Calibri"/>
            <a:cs typeface="Arial"/>
          </a:endParaRP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a:effectLst/>
              <a:latin typeface="Times New Roman"/>
              <a:ea typeface="Calibri"/>
              <a:cs typeface="Arial"/>
            </a:rPr>
            <a:t>The wording associated with the </a:t>
          </a:r>
          <a:r>
            <a:rPr lang="en-ZA" sz="1600" b="1">
              <a:effectLst/>
              <a:latin typeface="Times New Roman"/>
              <a:ea typeface="Calibri"/>
              <a:cs typeface="Arial"/>
            </a:rPr>
            <a:t>Power Calculator </a:t>
          </a:r>
          <a:r>
            <a:rPr lang="en-ZA" sz="1600">
              <a:effectLst/>
              <a:latin typeface="Times New Roman"/>
              <a:ea typeface="Calibri"/>
              <a:cs typeface="Arial"/>
            </a:rPr>
            <a:t>has been modified to clarify the nature of the presumed test and the performance metric which is calculated, namely the probability of inferring an incidence difference of the correct sign, in a two-tailed test. </a:t>
          </a:r>
          <a:endParaRPr lang="en-US" sz="1600">
            <a:effectLst/>
            <a:latin typeface="+mn-lt"/>
            <a:ea typeface="Calibri"/>
            <a:cs typeface="Arial"/>
          </a:endParaRPr>
        </a:p>
        <a:p>
          <a:pPr>
            <a:lnSpc>
              <a:spcPct val="115000"/>
            </a:lnSpc>
            <a:spcAft>
              <a:spcPts val="0"/>
            </a:spcAft>
          </a:pPr>
          <a:endParaRPr lang="en-US"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1600" b="1" u="sng">
              <a:effectLst/>
              <a:latin typeface="Times New Roman"/>
              <a:ea typeface="Calibri"/>
              <a:cs typeface="Arial"/>
            </a:rPr>
            <a:t>General warnings and error messages</a:t>
          </a:r>
          <a:endParaRPr lang="en-US" sz="1600">
            <a:effectLst/>
            <a:latin typeface="+mn-lt"/>
            <a:ea typeface="Calibri"/>
            <a:cs typeface="Arial"/>
          </a:endParaRPr>
        </a:p>
        <a:p>
          <a:pPr>
            <a:lnSpc>
              <a:spcPct val="115000"/>
            </a:lnSpc>
            <a:spcAft>
              <a:spcPts val="0"/>
            </a:spcAft>
          </a:pPr>
          <a:r>
            <a:rPr lang="en-ZA" sz="1600">
              <a:effectLst/>
              <a:latin typeface="Times New Roman"/>
              <a:ea typeface="Calibri"/>
              <a:cs typeface="Arial"/>
            </a:rPr>
            <a:t>Numerous new warning and error messages, in the spirit of those used in earlier versions, have been implemented to support the new features in this release, and some old messages have been modified. </a:t>
          </a:r>
          <a:endParaRPr lang="en-US" sz="1600">
            <a:effectLst/>
            <a:latin typeface="+mn-lt"/>
            <a:ea typeface="Calibri"/>
            <a:cs typeface="Arial"/>
          </a:endParaRPr>
        </a:p>
        <a:p>
          <a:pPr>
            <a:lnSpc>
              <a:spcPct val="115000"/>
            </a:lnSpc>
            <a:spcAft>
              <a:spcPts val="0"/>
            </a:spcAft>
          </a:pPr>
          <a:endParaRPr lang="en-US" sz="24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2400" b="1">
              <a:effectLst/>
              <a:latin typeface="Times New Roman" panose="02020603050405020304" pitchFamily="18" charset="0"/>
              <a:ea typeface="Calibri"/>
              <a:cs typeface="Times New Roman" panose="02020603050405020304" pitchFamily="18" charset="0"/>
            </a:rPr>
            <a:t>License </a:t>
          </a:r>
          <a:endParaRPr lang="en-US" sz="24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1600">
              <a:effectLst/>
              <a:latin typeface="Times New Roman" panose="02020603050405020304" pitchFamily="18" charset="0"/>
              <a:ea typeface="Calibri"/>
              <a:cs typeface="Times New Roman" panose="02020603050405020304" pitchFamily="18" charset="0"/>
            </a:rPr>
            <a:t>These spreadsheets are distributed under the Creative Commons Attribution-ShareAlike 4.0 International license (CC BY-SA 4.0, see http://creativecommons.org/licenses/by-sa/4.0/).  In other words, anyone may freely use, distribute or modify this material as long as the original creators are appropriately acknowledged and all derivative work released is covered by the same creative commons licence. This does not extend to computational outputs from these tools, over which the tool creators make no claim.</a:t>
          </a:r>
          <a:endParaRPr lang="en-US"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endParaRPr lang="en-ZA" sz="2400" b="1">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2400" b="1">
              <a:effectLst/>
              <a:latin typeface="Times New Roman" panose="02020603050405020304" pitchFamily="18" charset="0"/>
              <a:ea typeface="Calibri"/>
              <a:cs typeface="Times New Roman" panose="02020603050405020304" pitchFamily="18" charset="0"/>
            </a:rPr>
            <a:t>Citation</a:t>
          </a:r>
        </a:p>
        <a:p>
          <a:pPr>
            <a:lnSpc>
              <a:spcPct val="115000"/>
            </a:lnSpc>
            <a:spcAft>
              <a:spcPts val="0"/>
            </a:spcAft>
          </a:pPr>
          <a:r>
            <a:rPr lang="en-ZA" sz="1600">
              <a:effectLst/>
              <a:latin typeface="Times New Roman"/>
              <a:ea typeface="Calibri"/>
              <a:cs typeface="Arial"/>
            </a:rPr>
            <a:t>The official version 3 release of the ABIE tool</a:t>
          </a:r>
          <a:r>
            <a:rPr lang="en-ZA" sz="1600" baseline="0">
              <a:effectLst/>
              <a:latin typeface="Times New Roman"/>
              <a:ea typeface="Calibri"/>
              <a:cs typeface="Arial"/>
            </a:rPr>
            <a:t> </a:t>
          </a:r>
          <a:r>
            <a:rPr lang="en-ZA" sz="1600">
              <a:effectLst/>
              <a:latin typeface="Times New Roman"/>
              <a:ea typeface="Calibri"/>
              <a:cs typeface="Arial"/>
            </a:rPr>
            <a:t>set is found at: http://www.incidence-estimation.org/page/tools-for-incidence-from-biomarkers-for-recent-infection   </a:t>
          </a:r>
        </a:p>
        <a:p>
          <a:pPr>
            <a:lnSpc>
              <a:spcPct val="115000"/>
            </a:lnSpc>
            <a:spcAft>
              <a:spcPts val="0"/>
            </a:spcAft>
          </a:pPr>
          <a:r>
            <a:rPr lang="en-ZA" sz="1600">
              <a:effectLst/>
              <a:latin typeface="Times New Roman"/>
              <a:ea typeface="Calibri"/>
              <a:cs typeface="Arial"/>
            </a:rPr>
            <a:t> </a:t>
          </a:r>
          <a:endParaRPr lang="en-US" sz="1600">
            <a:effectLst/>
            <a:latin typeface="+mn-lt"/>
            <a:ea typeface="Calibri"/>
            <a:cs typeface="Arial"/>
          </a:endParaRPr>
        </a:p>
        <a:p>
          <a:pPr>
            <a:lnSpc>
              <a:spcPct val="115000"/>
            </a:lnSpc>
            <a:spcAft>
              <a:spcPts val="0"/>
            </a:spcAft>
          </a:pPr>
          <a:r>
            <a:rPr lang="en-ZA" sz="1600">
              <a:solidFill>
                <a:sysClr val="windowText" lastClr="000000"/>
              </a:solidFill>
              <a:effectLst/>
              <a:latin typeface="Times New Roman"/>
              <a:ea typeface="Calibri"/>
              <a:cs typeface="Arial"/>
            </a:rPr>
            <a:t>When using ABIE</a:t>
          </a:r>
          <a:r>
            <a:rPr lang="en-ZA" sz="1600" baseline="0">
              <a:solidFill>
                <a:sysClr val="windowText" lastClr="000000"/>
              </a:solidFill>
              <a:effectLst/>
              <a:latin typeface="Times New Roman"/>
              <a:ea typeface="Calibri"/>
              <a:cs typeface="Arial"/>
            </a:rPr>
            <a:t> v3 tools,</a:t>
          </a:r>
          <a:r>
            <a:rPr lang="en-ZA" sz="1600">
              <a:solidFill>
                <a:sysClr val="windowText" lastClr="000000"/>
              </a:solidFill>
              <a:effectLst/>
              <a:latin typeface="Times New Roman"/>
              <a:ea typeface="Calibri"/>
              <a:cs typeface="Arial"/>
            </a:rPr>
            <a:t> please cite the source of the tools (the URL above) and the following article, which provides the theoretical foundations and derives the underlying formulae used: </a:t>
          </a:r>
          <a:r>
            <a:rPr lang="en-ZA" sz="1600">
              <a:solidFill>
                <a:sysClr val="windowText" lastClr="000000"/>
              </a:solidFill>
              <a:effectLst/>
              <a:latin typeface="Times New Roman" panose="02020603050405020304" pitchFamily="18" charset="0"/>
              <a:ea typeface="Calibri"/>
              <a:cs typeface="Times New Roman" panose="02020603050405020304" pitchFamily="18" charset="0"/>
            </a:rPr>
            <a:t>Kassanjee R, McWalter TA, Bärnighausen T, Welte A. A new general biomarker-based incidence estimator. </a:t>
          </a:r>
          <a:r>
            <a:rPr lang="en-ZA" sz="1600" i="1">
              <a:solidFill>
                <a:sysClr val="windowText" lastClr="000000"/>
              </a:solidFill>
              <a:effectLst/>
              <a:latin typeface="Times New Roman" panose="02020603050405020304" pitchFamily="18" charset="0"/>
              <a:ea typeface="Calibri"/>
              <a:cs typeface="Times New Roman" panose="02020603050405020304" pitchFamily="18" charset="0"/>
            </a:rPr>
            <a:t>Epidemiology</a:t>
          </a:r>
          <a:r>
            <a:rPr lang="en-ZA" sz="1600">
              <a:solidFill>
                <a:sysClr val="windowText" lastClr="000000"/>
              </a:solidFill>
              <a:effectLst/>
              <a:latin typeface="Times New Roman" panose="02020603050405020304" pitchFamily="18" charset="0"/>
              <a:ea typeface="Calibri"/>
              <a:cs typeface="Times New Roman" panose="02020603050405020304" pitchFamily="18" charset="0"/>
            </a:rPr>
            <a:t>. 2012; 23(5): 721-728.</a:t>
          </a:r>
        </a:p>
        <a:p>
          <a:pPr>
            <a:lnSpc>
              <a:spcPct val="115000"/>
            </a:lnSpc>
            <a:spcAft>
              <a:spcPts val="0"/>
            </a:spcAft>
          </a:pPr>
          <a:endParaRPr lang="en-ZA" sz="1600">
            <a:solidFill>
              <a:sysClr val="windowText" lastClr="000000"/>
            </a:solidFill>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US" sz="1600">
              <a:solidFill>
                <a:sysClr val="windowText" lastClr="000000"/>
              </a:solidFill>
              <a:effectLst/>
              <a:latin typeface="Times New Roman" panose="02020603050405020304" pitchFamily="18" charset="0"/>
              <a:ea typeface="Calibri"/>
              <a:cs typeface="Times New Roman" panose="02020603050405020304" pitchFamily="18" charset="0"/>
            </a:rPr>
            <a:t>When using the </a:t>
          </a:r>
          <a:r>
            <a:rPr lang="en-US" sz="1600" b="1">
              <a:solidFill>
                <a:sysClr val="windowText" lastClr="000000"/>
              </a:solidFill>
              <a:effectLst/>
              <a:latin typeface="Times New Roman" panose="02020603050405020304" pitchFamily="18" charset="0"/>
              <a:ea typeface="Calibri"/>
              <a:cs typeface="Times New Roman" panose="02020603050405020304" pitchFamily="18" charset="0"/>
            </a:rPr>
            <a:t>Test Performance Calculator</a:t>
          </a:r>
          <a:r>
            <a:rPr lang="en-US" sz="1600">
              <a:solidFill>
                <a:sysClr val="windowText" lastClr="000000"/>
              </a:solidFill>
              <a:effectLst/>
              <a:latin typeface="Times New Roman" panose="02020603050405020304" pitchFamily="18" charset="0"/>
              <a:ea typeface="Calibri"/>
              <a:cs typeface="Times New Roman" panose="02020603050405020304" pitchFamily="18" charset="0"/>
            </a:rPr>
            <a:t>, the following article should also be cited: Kassanjee R, McWalter TA, Welte A. Defining optimality of a test for recent infection for HIV incidence surveillance. </a:t>
          </a:r>
          <a:r>
            <a:rPr lang="en-US" sz="1600" i="1">
              <a:solidFill>
                <a:sysClr val="windowText" lastClr="000000"/>
              </a:solidFill>
              <a:effectLst/>
              <a:latin typeface="Times New Roman" panose="02020603050405020304" pitchFamily="18" charset="0"/>
              <a:ea typeface="Calibri"/>
              <a:cs typeface="Times New Roman" panose="02020603050405020304" pitchFamily="18" charset="0"/>
            </a:rPr>
            <a:t>AIDS Res Hum Retroviruses</a:t>
          </a:r>
          <a:r>
            <a:rPr lang="en-US" sz="1600">
              <a:solidFill>
                <a:sysClr val="windowText" lastClr="000000"/>
              </a:solidFill>
              <a:effectLst/>
              <a:latin typeface="Times New Roman" panose="02020603050405020304" pitchFamily="18" charset="0"/>
              <a:ea typeface="Calibri"/>
              <a:cs typeface="Times New Roman" panose="02020603050405020304" pitchFamily="18" charset="0"/>
            </a:rPr>
            <a:t>. 2014 Jan; 30(1): 45-9.</a:t>
          </a:r>
        </a:p>
        <a:p>
          <a:pPr>
            <a:lnSpc>
              <a:spcPct val="115000"/>
            </a:lnSpc>
            <a:spcAft>
              <a:spcPts val="0"/>
            </a:spcAft>
          </a:pPr>
          <a:endParaRPr lang="en-ZA"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1600">
              <a:effectLst/>
              <a:latin typeface="Times New Roman" panose="02020603050405020304" pitchFamily="18" charset="0"/>
              <a:ea typeface="Calibri"/>
              <a:cs typeface="Times New Roman" panose="02020603050405020304" pitchFamily="18" charset="0"/>
            </a:rPr>
            <a:t>The most significant details which are new in ABIE version 3, such as the use of design effects and the improvements to incidence estimate comparisons, are not published outside of the tools themselves, as of the release date (June 2015).  They were derived by Alex Welte, Cari van Schalkwyk, Reshma Kassanjee and Simon Daniel. The tools themselves, including the URL above, should be cited.</a:t>
          </a:r>
          <a:endParaRPr lang="en-US" sz="1600">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endParaRPr lang="en-ZA" sz="2400" b="1">
            <a:effectLst/>
            <a:latin typeface="Times New Roman" panose="02020603050405020304" pitchFamily="18" charset="0"/>
            <a:ea typeface="Calibri"/>
            <a:cs typeface="Times New Roman" panose="02020603050405020304" pitchFamily="18" charset="0"/>
          </a:endParaRPr>
        </a:p>
        <a:p>
          <a:pPr>
            <a:lnSpc>
              <a:spcPct val="115000"/>
            </a:lnSpc>
            <a:spcAft>
              <a:spcPts val="0"/>
            </a:spcAft>
          </a:pPr>
          <a:r>
            <a:rPr lang="en-ZA" sz="2400" b="1">
              <a:effectLst/>
              <a:latin typeface="Times New Roman"/>
              <a:ea typeface="Calibri"/>
              <a:cs typeface="Arial"/>
            </a:rPr>
            <a:t>Acknowledgements</a:t>
          </a:r>
        </a:p>
        <a:p>
          <a:pPr>
            <a:lnSpc>
              <a:spcPct val="115000"/>
            </a:lnSpc>
            <a:spcAft>
              <a:spcPts val="0"/>
            </a:spcAft>
          </a:pPr>
          <a:r>
            <a:rPr lang="en-ZA" sz="1600">
              <a:effectLst/>
              <a:latin typeface="Times New Roman"/>
              <a:ea typeface="Calibri"/>
              <a:cs typeface="Arial"/>
            </a:rPr>
            <a:t>The ABIE family of tools has been developed by (alphabetically): </a:t>
          </a:r>
          <a:r>
            <a:rPr lang="en-ZA" sz="1600" i="1">
              <a:effectLst/>
              <a:latin typeface="Times New Roman"/>
              <a:ea typeface="Calibri"/>
              <a:cs typeface="Arial"/>
            </a:rPr>
            <a:t>Hilmarie Brand, Simon Daniel, Reshma Kassanjee, Tom McWalter, Cari van Schalkwyk </a:t>
          </a:r>
          <a:r>
            <a:rPr lang="en-ZA" sz="1600" i="0">
              <a:effectLst/>
              <a:latin typeface="Times New Roman"/>
              <a:ea typeface="Calibri"/>
              <a:cs typeface="Arial"/>
            </a:rPr>
            <a:t>and</a:t>
          </a:r>
          <a:r>
            <a:rPr lang="en-ZA" sz="1600" i="1">
              <a:effectLst/>
              <a:latin typeface="Times New Roman"/>
              <a:ea typeface="Calibri"/>
              <a:cs typeface="Arial"/>
            </a:rPr>
            <a:t> Alex Welte.</a:t>
          </a:r>
          <a:endParaRPr lang="en-US" sz="1600">
            <a:effectLst/>
            <a:latin typeface="+mn-lt"/>
            <a:ea typeface="Calibri"/>
            <a:cs typeface="Arial"/>
          </a:endParaRP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a:effectLst/>
              <a:latin typeface="Times New Roman"/>
              <a:ea typeface="Calibri"/>
              <a:cs typeface="Arial"/>
            </a:rPr>
            <a:t>Funding support for the development of SACEMA’s ABIE tools has historically been variously provided by the South African National Research Foundation, the Bill and Melinda Gates Foundation, the (erstwhile) Canadian International Development Agency, UNAIDS, and the World Health Organisation.</a:t>
          </a:r>
          <a:endParaRPr lang="en-US" sz="1600">
            <a:effectLst/>
            <a:latin typeface="+mn-lt"/>
            <a:ea typeface="Calibri"/>
            <a:cs typeface="Arial"/>
          </a:endParaRPr>
        </a:p>
        <a:p>
          <a:pPr>
            <a:lnSpc>
              <a:spcPct val="115000"/>
            </a:lnSpc>
            <a:spcAft>
              <a:spcPts val="0"/>
            </a:spcAft>
          </a:pPr>
          <a:endParaRPr lang="en-ZA" sz="1600">
            <a:effectLst/>
            <a:latin typeface="Times New Roman"/>
            <a:ea typeface="Calibri"/>
            <a:cs typeface="Arial"/>
          </a:endParaRPr>
        </a:p>
        <a:p>
          <a:pPr>
            <a:lnSpc>
              <a:spcPct val="115000"/>
            </a:lnSpc>
            <a:spcAft>
              <a:spcPts val="0"/>
            </a:spcAft>
          </a:pPr>
          <a:r>
            <a:rPr lang="en-ZA" sz="1600">
              <a:effectLst/>
              <a:latin typeface="Times New Roman"/>
              <a:ea typeface="Calibri"/>
              <a:cs typeface="Arial"/>
            </a:rPr>
            <a:t>Many people have contributed indirectly to this work by providing feedback on major and minor aspects and revisions.  We wish to thank, in particular, Meade Morgan, Stefano Ongarello and Eduard Grebe for their useful feedback on this version.</a:t>
          </a:r>
          <a:endParaRPr lang="en-US" sz="1600">
            <a:effectLst/>
            <a:latin typeface="+mn-lt"/>
            <a:ea typeface="Calibri"/>
            <a:cs typeface="Arial"/>
          </a:endParaRPr>
        </a:p>
        <a:p>
          <a:pPr>
            <a:lnSpc>
              <a:spcPct val="115000"/>
            </a:lnSpc>
            <a:spcAft>
              <a:spcPts val="0"/>
            </a:spcAft>
          </a:pPr>
          <a:endParaRPr lang="en-ZA" sz="2400" b="1">
            <a:effectLst/>
            <a:latin typeface="Times New Roman"/>
            <a:ea typeface="Calibri"/>
            <a:cs typeface="Arial"/>
          </a:endParaRPr>
        </a:p>
        <a:p>
          <a:pPr>
            <a:lnSpc>
              <a:spcPct val="115000"/>
            </a:lnSpc>
            <a:spcAft>
              <a:spcPts val="0"/>
            </a:spcAft>
          </a:pPr>
          <a:r>
            <a:rPr lang="en-ZA" sz="2400" b="1">
              <a:effectLst/>
              <a:latin typeface="Times New Roman"/>
              <a:ea typeface="Calibri"/>
              <a:cs typeface="Arial"/>
            </a:rPr>
            <a:t>Further</a:t>
          </a:r>
          <a:r>
            <a:rPr lang="en-ZA" sz="2400" b="1" baseline="0">
              <a:effectLst/>
              <a:latin typeface="Times New Roman"/>
              <a:ea typeface="Calibri"/>
              <a:cs typeface="Arial"/>
            </a:rPr>
            <a:t> Reading</a:t>
          </a:r>
        </a:p>
        <a:p>
          <a:pPr>
            <a:lnSpc>
              <a:spcPct val="115000"/>
            </a:lnSpc>
            <a:spcAft>
              <a:spcPts val="0"/>
            </a:spcAft>
          </a:pPr>
          <a:endParaRPr lang="en-ZA" sz="800" b="1">
            <a:effectLst/>
            <a:latin typeface="Times New Roman"/>
            <a:ea typeface="Calibri"/>
            <a:cs typeface="Arial"/>
          </a:endParaRPr>
        </a:p>
        <a:p>
          <a:pPr>
            <a:lnSpc>
              <a:spcPct val="115000"/>
            </a:lnSpc>
            <a:spcAft>
              <a:spcPts val="0"/>
            </a:spcAft>
          </a:pPr>
          <a:r>
            <a:rPr lang="en-ZA" sz="1600" b="1" u="sng">
              <a:effectLst/>
              <a:latin typeface="Times New Roman"/>
              <a:ea typeface="Calibri"/>
              <a:cs typeface="Arial"/>
            </a:rPr>
            <a:t>A.</a:t>
          </a:r>
          <a:r>
            <a:rPr lang="en-ZA" sz="1600" b="1" u="sng" baseline="0">
              <a:effectLst/>
              <a:latin typeface="Times New Roman"/>
              <a:ea typeface="Calibri"/>
              <a:cs typeface="Arial"/>
            </a:rPr>
            <a:t> Primary papers</a:t>
          </a:r>
        </a:p>
        <a:p>
          <a:pPr>
            <a:lnSpc>
              <a:spcPct val="115000"/>
            </a:lnSpc>
            <a:spcAft>
              <a:spcPts val="0"/>
            </a:spcAft>
          </a:pPr>
          <a:endParaRPr lang="en-ZA" sz="800" b="1" u="sng" baseline="0">
            <a:effectLst/>
            <a:latin typeface="Times New Roman"/>
            <a:ea typeface="Calibri"/>
            <a:cs typeface="Arial"/>
          </a:endParaRPr>
        </a:p>
        <a:p>
          <a:pPr algn="just">
            <a:lnSpc>
              <a:spcPct val="115000"/>
            </a:lnSpc>
            <a:spcAft>
              <a:spcPts val="0"/>
            </a:spcAft>
          </a:pPr>
          <a:r>
            <a:rPr lang="en-US" sz="1600">
              <a:effectLst/>
              <a:latin typeface="Times New Roman"/>
              <a:ea typeface="Calibri"/>
              <a:cs typeface="Arial"/>
            </a:rPr>
            <a:t>1. Brookmeyer R, Quinn TC. Estimation of current human immunodeficiency virus incidence rates from a cross-sectional survey using early diagnostic tests. </a:t>
          </a:r>
          <a:r>
            <a:rPr lang="en-US" sz="1600" i="1">
              <a:effectLst/>
              <a:latin typeface="Times New Roman"/>
              <a:ea typeface="Calibri"/>
              <a:cs typeface="Arial"/>
            </a:rPr>
            <a:t>Am J Epidemiol</a:t>
          </a:r>
          <a:r>
            <a:rPr lang="en-US" sz="1600">
              <a:effectLst/>
              <a:latin typeface="Times New Roman"/>
              <a:ea typeface="Calibri"/>
              <a:cs typeface="Arial"/>
            </a:rPr>
            <a:t>. 1995; 141(2): 166–72.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pioneering paper exposing the original concept of estimating HIV incidence by measuring the prevalence of a transient status of recent infection.</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2. Janssen RS, Satten GA, Stramer SL, Rawal BD, O’Brien TR, Weiblen B., et al. New testing strategy to detect early HIV-1 infection for use in incidence estimates and for clinical and prevention purposes. </a:t>
          </a:r>
          <a:r>
            <a:rPr lang="en-US" sz="1600" i="1">
              <a:effectLst/>
              <a:latin typeface="Times New Roman"/>
              <a:ea typeface="Calibri"/>
              <a:cs typeface="Arial"/>
            </a:rPr>
            <a:t>JAMA</a:t>
          </a:r>
          <a:r>
            <a:rPr lang="en-US" sz="1600">
              <a:effectLst/>
              <a:latin typeface="Times New Roman"/>
              <a:ea typeface="Calibri"/>
              <a:cs typeface="Arial"/>
            </a:rPr>
            <a:t>. 1998 Jul; 280(1):42–8.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landmark article elaborating on Brookmeyer and Quinn’s concept that describes the first serological incidence assay (a detuned version of an Elisa diagnostic test) and displaying its potential use. </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3. Kassanjee R, McWalter TA, Barnighausen T, Welte A. A New General Biomarker-based Incidence Estimator. </a:t>
          </a:r>
          <a:r>
            <a:rPr lang="en-US" sz="1600" i="1">
              <a:effectLst/>
              <a:latin typeface="Times New Roman"/>
              <a:ea typeface="Calibri"/>
              <a:cs typeface="Arial"/>
            </a:rPr>
            <a:t>Epidemiology. </a:t>
          </a:r>
          <a:r>
            <a:rPr lang="en-US" sz="1600">
              <a:effectLst/>
              <a:latin typeface="Times New Roman"/>
              <a:ea typeface="Calibri"/>
              <a:cs typeface="Arial"/>
            </a:rPr>
            <a:t>2012; 23(5): 721–8.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general theoretical framework for deriving biomarker-based incidence and estimator uncertainty accounting for the occurrence of false recent infection results. Comes after a decade of literature debating on how to adjust incidence estimates for laboratory “misclassification”.</a:t>
          </a:r>
          <a:endParaRPr lang="en-US" sz="1600">
            <a:effectLst/>
            <a:latin typeface="+mn-lt"/>
            <a:ea typeface="Calibri"/>
            <a:cs typeface="Arial"/>
          </a:endParaRPr>
        </a:p>
        <a:p>
          <a:pPr>
            <a:lnSpc>
              <a:spcPct val="115000"/>
            </a:lnSpc>
            <a:spcAft>
              <a:spcPts val="0"/>
            </a:spcAft>
          </a:pPr>
          <a:endParaRPr lang="en-ZA" sz="1600" b="0">
            <a:effectLst/>
            <a:latin typeface="Times New Roman"/>
            <a:ea typeface="Calibri"/>
            <a:cs typeface="Arial"/>
          </a:endParaRPr>
        </a:p>
        <a:p>
          <a:pPr>
            <a:lnSpc>
              <a:spcPct val="115000"/>
            </a:lnSpc>
            <a:spcAft>
              <a:spcPts val="0"/>
            </a:spcAft>
          </a:pPr>
          <a:r>
            <a:rPr lang="en-ZA" sz="1600" b="1" u="sng">
              <a:effectLst/>
              <a:latin typeface="Times New Roman"/>
              <a:ea typeface="Calibri"/>
              <a:cs typeface="Arial"/>
            </a:rPr>
            <a:t>B. Examples of field applications of biomarker-based incidence</a:t>
          </a:r>
        </a:p>
        <a:p>
          <a:pPr>
            <a:lnSpc>
              <a:spcPct val="115000"/>
            </a:lnSpc>
            <a:spcAft>
              <a:spcPts val="0"/>
            </a:spcAft>
          </a:pPr>
          <a:endParaRPr lang="en-ZA" sz="800" b="0">
            <a:effectLst/>
            <a:latin typeface="Times New Roman"/>
            <a:ea typeface="Calibri"/>
            <a:cs typeface="Arial"/>
          </a:endParaRPr>
        </a:p>
        <a:p>
          <a:pPr algn="just">
            <a:lnSpc>
              <a:spcPct val="115000"/>
            </a:lnSpc>
            <a:spcAft>
              <a:spcPts val="0"/>
            </a:spcAft>
          </a:pPr>
          <a:r>
            <a:rPr lang="fr-FR" sz="1600">
              <a:effectLst/>
              <a:latin typeface="Times New Roman"/>
              <a:ea typeface="Calibri"/>
              <a:cs typeface="Arial"/>
            </a:rPr>
            <a:t>4. McDougal JS, Parekh BS, Peterson M., Branson BM, Dobbs T, Ackers M, et al. </a:t>
          </a:r>
          <a:r>
            <a:rPr lang="en-US" sz="1600">
              <a:effectLst/>
              <a:latin typeface="Times New Roman"/>
              <a:ea typeface="Calibri"/>
              <a:cs typeface="Arial"/>
            </a:rPr>
            <a:t>Comparison of HIV type 1 incidence observed during longitudinal follow-up with incidence estimated by cross-sectional analysis using the BED capture enzyme immunoassay. </a:t>
          </a:r>
          <a:r>
            <a:rPr lang="en-US" sz="1600" i="1">
              <a:effectLst/>
              <a:latin typeface="Times New Roman"/>
              <a:ea typeface="Calibri"/>
              <a:cs typeface="Arial"/>
            </a:rPr>
            <a:t>AIDS Res Hum Retroviruses</a:t>
          </a:r>
          <a:r>
            <a:rPr lang="en-US" sz="1600">
              <a:effectLst/>
              <a:latin typeface="Times New Roman"/>
              <a:ea typeface="Calibri"/>
              <a:cs typeface="Arial"/>
            </a:rPr>
            <a:t>. 2006; 22(10): 945–52.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study comparing cross-sectional and longitudinal HIV incidence estimates and one of the first attempts to adjust the biomarker-based estimate for false recent results.</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5. Bärnighausen T, Wallrauch C, Welte A, McWalter T, Mbizana N, Viljoen J, et al. HIV Incidence in Rural South Africa: Comparison of Estimates from Longitudinal Surveillance and Cross-Sectional cBED Assay Testing. </a:t>
          </a:r>
          <a:r>
            <a:rPr lang="en-US" sz="1600" i="1">
              <a:effectLst/>
              <a:latin typeface="Times New Roman"/>
              <a:ea typeface="Calibri"/>
              <a:cs typeface="Arial"/>
            </a:rPr>
            <a:t>PLoS ONE</a:t>
          </a:r>
          <a:r>
            <a:rPr lang="en-US" sz="1600">
              <a:effectLst/>
              <a:latin typeface="Times New Roman"/>
              <a:ea typeface="Calibri"/>
              <a:cs typeface="Arial"/>
            </a:rPr>
            <a:t>. 2008 Nov; 3(11): e3640.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Using data from rural South Africa, the study compares BED assay based incidence estimates to longitudinal estimates. It points out the importance of an appropriate estimation of false-recent rate in the population of interest.</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6. McNicholl JM, McDougal JS, Wasinrapee P, Branson BM, Martin M, Tappero JW, et al. Assessment of BED HIV-1 incidence assay in seroconverter cohorts: effect of individuals with long-term infection and importance of stable incidence. </a:t>
          </a:r>
          <a:r>
            <a:rPr lang="en-US" sz="1600" i="1">
              <a:effectLst/>
              <a:latin typeface="Times New Roman"/>
              <a:ea typeface="Calibri"/>
              <a:cs typeface="Arial"/>
            </a:rPr>
            <a:t>PLoS ONE</a:t>
          </a:r>
          <a:r>
            <a:rPr lang="en-US" sz="1600">
              <a:effectLst/>
              <a:latin typeface="Times New Roman"/>
              <a:ea typeface="Calibri"/>
              <a:cs typeface="Arial"/>
            </a:rPr>
            <a:t>. 2011 Jan; 6(3): e14748.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study comparing BED assay based incidence estimates to longitudinal estimates in three cohorts in Thailand.</a:t>
          </a:r>
        </a:p>
        <a:p>
          <a:pPr indent="449580" algn="just">
            <a:lnSpc>
              <a:spcPct val="115000"/>
            </a:lnSpc>
            <a:spcAft>
              <a:spcPts val="0"/>
            </a:spcAft>
          </a:pPr>
          <a:endParaRPr lang="en-US" sz="1600">
            <a:effectLst/>
            <a:latin typeface="Times New Roman"/>
            <a:ea typeface="Calibri"/>
            <a:cs typeface="Arial"/>
          </a:endParaRPr>
        </a:p>
        <a:p>
          <a:pPr algn="just">
            <a:lnSpc>
              <a:spcPct val="115000"/>
            </a:lnSpc>
            <a:spcAft>
              <a:spcPts val="0"/>
            </a:spcAft>
          </a:pPr>
          <a:r>
            <a:rPr lang="fr-FR" sz="1600" b="1" u="sng">
              <a:effectLst/>
              <a:latin typeface="Times New Roman"/>
              <a:ea typeface="Calibri"/>
              <a:cs typeface="Arial"/>
            </a:rPr>
            <a:t>C. Development and evaluation of incidence assays</a:t>
          </a:r>
        </a:p>
        <a:p>
          <a:pPr algn="just">
            <a:lnSpc>
              <a:spcPct val="115000"/>
            </a:lnSpc>
            <a:spcAft>
              <a:spcPts val="0"/>
            </a:spcAft>
          </a:pPr>
          <a:endParaRPr lang="fr-FR" sz="800">
            <a:effectLst/>
            <a:latin typeface="Times New Roman"/>
            <a:ea typeface="Calibri"/>
            <a:cs typeface="Arial"/>
          </a:endParaRPr>
        </a:p>
        <a:p>
          <a:pPr algn="just">
            <a:lnSpc>
              <a:spcPct val="115000"/>
            </a:lnSpc>
            <a:spcAft>
              <a:spcPts val="0"/>
            </a:spcAft>
          </a:pPr>
          <a:r>
            <a:rPr lang="fr-FR" sz="1600">
              <a:effectLst/>
              <a:latin typeface="Times New Roman"/>
              <a:ea typeface="Calibri"/>
              <a:cs typeface="Arial"/>
            </a:rPr>
            <a:t>7. Parekh B, Kennedy M, Dobbs T, Pau C, Byers R, Green T, et al. </a:t>
          </a:r>
          <a:r>
            <a:rPr lang="en-US" sz="1600">
              <a:effectLst/>
              <a:latin typeface="Times New Roman"/>
              <a:ea typeface="Calibri"/>
              <a:cs typeface="Arial"/>
            </a:rPr>
            <a:t>Quantitative detection of increasing HIV type 1 antibodies after seroconversion: a simple assay for detecting recent HIV infection and estimating incidence. </a:t>
          </a:r>
          <a:r>
            <a:rPr lang="en-US" sz="1600" i="1">
              <a:effectLst/>
              <a:latin typeface="Times New Roman"/>
              <a:ea typeface="Calibri"/>
              <a:cs typeface="Arial"/>
            </a:rPr>
            <a:t>AIDS Res Hum Retroviruses</a:t>
          </a:r>
          <a:r>
            <a:rPr lang="en-US" sz="1600">
              <a:effectLst/>
              <a:latin typeface="Times New Roman"/>
              <a:ea typeface="Calibri"/>
              <a:cs typeface="Arial"/>
            </a:rPr>
            <a:t>. 2002 Mar 1; 18(4): 295–307.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After Janssen’s paper, a report of the development of an improved standalone incidence assay (BED), later calibrated for and used in numerous worldwide field applications. </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fr-FR" sz="1600">
              <a:effectLst/>
              <a:latin typeface="Times New Roman"/>
              <a:ea typeface="Calibri"/>
              <a:cs typeface="Arial"/>
            </a:rPr>
            <a:t>8. Duong YT, Qiu M, De AK, Jackson K, Dobbs T, Kim AA, et al. </a:t>
          </a:r>
          <a:r>
            <a:rPr lang="en-US" sz="1600">
              <a:effectLst/>
              <a:latin typeface="Times New Roman"/>
              <a:ea typeface="Calibri"/>
              <a:cs typeface="Arial"/>
            </a:rPr>
            <a:t>Detection of recent HIV-1 infection using a new limiting-antigen avidity assay: potential for HIV-1 incidence estimates and avidity maturation studies. </a:t>
          </a:r>
          <a:r>
            <a:rPr lang="en-US" sz="1600" i="1">
              <a:effectLst/>
              <a:latin typeface="Times New Roman"/>
              <a:ea typeface="Calibri"/>
              <a:cs typeface="Arial"/>
            </a:rPr>
            <a:t>PLoS ONE</a:t>
          </a:r>
          <a:r>
            <a:rPr lang="en-US" sz="1600">
              <a:effectLst/>
              <a:latin typeface="Times New Roman"/>
              <a:ea typeface="Calibri"/>
              <a:cs typeface="Arial"/>
            </a:rPr>
            <a:t>. 2012; 7(3): e33328.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study demonstrating the performance of the new LAg assay over BED and an older generation avidity assay in terms of consistency of properties in different populations and subtypes. </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fr-FR" sz="1600">
              <a:effectLst/>
              <a:latin typeface="Times New Roman"/>
              <a:ea typeface="Calibri"/>
              <a:cs typeface="Arial"/>
            </a:rPr>
            <a:t>9. Laeyendecker O, Brookmeyer R, Cousins MM, Mullis CE, Konikoff J, Donnell D, et al. </a:t>
          </a:r>
          <a:r>
            <a:rPr lang="en-US" sz="1600">
              <a:effectLst/>
              <a:latin typeface="Times New Roman"/>
              <a:ea typeface="Calibri"/>
              <a:cs typeface="Arial"/>
            </a:rPr>
            <a:t>HIV incidence determination in the United States: a multiassay approach. </a:t>
          </a:r>
          <a:r>
            <a:rPr lang="en-US" sz="1600" i="1">
              <a:effectLst/>
              <a:latin typeface="Times New Roman"/>
              <a:ea typeface="Calibri"/>
              <a:cs typeface="Arial"/>
            </a:rPr>
            <a:t>J Infect Dis</a:t>
          </a:r>
          <a:r>
            <a:rPr lang="en-US" sz="1600">
              <a:effectLst/>
              <a:latin typeface="Times New Roman"/>
              <a:ea typeface="Calibri"/>
              <a:cs typeface="Arial"/>
            </a:rPr>
            <a:t>. 2013 Jan 15; 207(2): 232–9.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study presenting an algorithm of laboratory measurements (MAA for multi-assay algorithm) resulting from a series of work trying to limit the false recent rate of single incidence assays. </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10. Kassanjee R, Pilcher CD, Keating SM, Facente SN, Mckinney E, Price MA, et al. Independent assessment of candidate HIV incidence assays on specimens in the CEPHIA repository. </a:t>
          </a:r>
          <a:r>
            <a:rPr lang="en-US" sz="1600" i="1">
              <a:effectLst/>
              <a:latin typeface="Times New Roman"/>
              <a:ea typeface="Calibri"/>
              <a:cs typeface="Arial"/>
            </a:rPr>
            <a:t>AIDS</a:t>
          </a:r>
          <a:r>
            <a:rPr lang="en-US" sz="1600">
              <a:effectLst/>
              <a:latin typeface="Times New Roman" panose="02020603050405020304" pitchFamily="18" charset="0"/>
              <a:ea typeface="Calibri"/>
              <a:cs typeface="Times New Roman" panose="02020603050405020304" pitchFamily="18" charset="0"/>
            </a:rPr>
            <a:t>. </a:t>
          </a:r>
          <a:r>
            <a:rPr lang="en-US" sz="1600">
              <a:latin typeface="Times New Roman" panose="02020603050405020304" pitchFamily="18" charset="0"/>
              <a:cs typeface="Times New Roman" panose="02020603050405020304" pitchFamily="18" charset="0"/>
            </a:rPr>
            <a:t>2014 Oct 23; 28(16): 2439-49.</a:t>
          </a:r>
          <a:endParaRPr lang="en-US" sz="1600">
            <a:effectLst/>
            <a:latin typeface="Times New Roman" panose="02020603050405020304" pitchFamily="18" charset="0"/>
            <a:ea typeface="Calibri"/>
            <a:cs typeface="Times New Roman" panose="02020603050405020304" pitchFamily="18" charset="0"/>
          </a:endParaRPr>
        </a:p>
        <a:p>
          <a:pPr indent="449580" algn="just">
            <a:lnSpc>
              <a:spcPct val="115000"/>
            </a:lnSpc>
            <a:spcAft>
              <a:spcPts val="0"/>
            </a:spcAft>
          </a:pPr>
          <a:r>
            <a:rPr lang="en-US" sz="1600">
              <a:effectLst/>
              <a:latin typeface="Times New Roman"/>
              <a:ea typeface="Calibri"/>
              <a:cs typeface="Arial"/>
            </a:rPr>
            <a:t>This study takes advantage of the large CEPHIA specimen repository to evaluate properties of five available tests for recent infection used as single incidence assays. It confirms that all assays are (individually) affected by a large proportion of false recent results in ARV treated individuals.</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11. Kassanjee R, McWalter TA, Welte A. Short Communication: Defining optimality of a test for recent infection for HIV incidence surveillance. </a:t>
          </a:r>
          <a:r>
            <a:rPr lang="en-US" sz="1600" i="1">
              <a:effectLst/>
              <a:latin typeface="Times New Roman"/>
              <a:ea typeface="Calibri"/>
              <a:cs typeface="Arial"/>
            </a:rPr>
            <a:t>AIDS Res Hum Retroviruses</a:t>
          </a:r>
          <a:r>
            <a:rPr lang="en-US" sz="1600">
              <a:effectLst/>
              <a:latin typeface="Times New Roman"/>
              <a:ea typeface="Calibri"/>
              <a:cs typeface="Arial"/>
            </a:rPr>
            <a:t>. 2014 Jan; 30(1): 45–9.</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Provides objective guidance criteria to maximize the properties of a test for recent HIV infection in order to estimate incidence. The paper makes a strong point in focusing on the precision of the final incidence estimator rather than thinking of the performance of a test in terms of sensitivity/specificity. </a:t>
          </a:r>
        </a:p>
        <a:p>
          <a:pPr indent="449580" algn="just">
            <a:lnSpc>
              <a:spcPct val="115000"/>
            </a:lnSpc>
            <a:spcAft>
              <a:spcPts val="0"/>
            </a:spcAft>
          </a:pPr>
          <a:endParaRPr lang="en-US" sz="1600">
            <a:effectLst/>
            <a:latin typeface="Times New Roman"/>
            <a:ea typeface="Calibri"/>
            <a:cs typeface="Arial"/>
          </a:endParaRPr>
        </a:p>
        <a:p>
          <a:pPr algn="just">
            <a:lnSpc>
              <a:spcPct val="115000"/>
            </a:lnSpc>
            <a:spcAft>
              <a:spcPts val="0"/>
            </a:spcAft>
          </a:pPr>
          <a:r>
            <a:rPr lang="fr-FR" sz="1600" b="1" u="sng">
              <a:solidFill>
                <a:sysClr val="windowText" lastClr="000000"/>
              </a:solidFill>
              <a:effectLst/>
              <a:latin typeface="Times New Roman"/>
              <a:ea typeface="Calibri"/>
              <a:cs typeface="Arial"/>
            </a:rPr>
            <a:t>D.</a:t>
          </a:r>
          <a:r>
            <a:rPr lang="fr-FR" sz="1600" b="1" u="sng" baseline="0">
              <a:solidFill>
                <a:sysClr val="windowText" lastClr="000000"/>
              </a:solidFill>
              <a:effectLst/>
              <a:latin typeface="Times New Roman"/>
              <a:ea typeface="Calibri"/>
              <a:cs typeface="Arial"/>
            </a:rPr>
            <a:t> Reviews on biomarker-based incidence</a:t>
          </a:r>
          <a:endParaRPr lang="fr-FR" sz="1600" b="1" u="sng">
            <a:solidFill>
              <a:sysClr val="windowText" lastClr="000000"/>
            </a:solidFill>
            <a:effectLst/>
            <a:latin typeface="Times New Roman"/>
            <a:ea typeface="Calibri"/>
            <a:cs typeface="Arial"/>
          </a:endParaRPr>
        </a:p>
        <a:p>
          <a:pPr algn="just">
            <a:lnSpc>
              <a:spcPct val="115000"/>
            </a:lnSpc>
            <a:spcAft>
              <a:spcPts val="0"/>
            </a:spcAft>
          </a:pPr>
          <a:endParaRPr lang="fr-FR" sz="800" u="sng">
            <a:solidFill>
              <a:srgbClr val="0000FF"/>
            </a:solidFill>
            <a:effectLst/>
            <a:latin typeface="Times New Roman"/>
            <a:ea typeface="Calibri"/>
            <a:cs typeface="Arial"/>
          </a:endParaRPr>
        </a:p>
        <a:p>
          <a:pPr algn="just">
            <a:lnSpc>
              <a:spcPct val="115000"/>
            </a:lnSpc>
            <a:spcAft>
              <a:spcPts val="0"/>
            </a:spcAft>
          </a:pPr>
          <a:r>
            <a:rPr lang="fr-FR" sz="1600" u="none">
              <a:solidFill>
                <a:sysClr val="windowText" lastClr="000000"/>
              </a:solidFill>
              <a:effectLst/>
              <a:latin typeface="Times New Roman"/>
              <a:ea typeface="Calibri"/>
              <a:cs typeface="Arial"/>
            </a:rPr>
            <a:t>12. Le Vu S, Pillonel J, Semaille C, Bernillon P, Le Strat Y, Meyer L, et al. </a:t>
          </a:r>
          <a:r>
            <a:rPr lang="en-US" sz="1600">
              <a:effectLst/>
              <a:latin typeface="Times New Roman"/>
              <a:ea typeface="Calibri"/>
              <a:cs typeface="Arial"/>
            </a:rPr>
            <a:t>Principles and uses of HIV incidence estimation from recent infection testing - a review. </a:t>
          </a:r>
          <a:r>
            <a:rPr lang="en-US" sz="1600" i="1">
              <a:effectLst/>
              <a:latin typeface="Times New Roman"/>
              <a:ea typeface="Calibri"/>
              <a:cs typeface="Arial"/>
            </a:rPr>
            <a:t>Euro Surveill</a:t>
          </a:r>
          <a:r>
            <a:rPr lang="en-US" sz="1600">
              <a:effectLst/>
              <a:latin typeface="Times New Roman"/>
              <a:ea typeface="Calibri"/>
              <a:cs typeface="Arial"/>
            </a:rPr>
            <a:t>. 2008 Sep 4; 13(36).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review of the general principles and uses of recent infection status to derive HIV incidence. Covers various types of applications.</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13. Busch MP, Pilcher CD, Mastro TD, Kaldor J, Vercauteren G, Rodriguez W, et al. Beyond detuning: 10 years of progress and new challenges in the development and application of assays for HIV incidence estimation. </a:t>
          </a:r>
          <a:r>
            <a:rPr lang="en-US" sz="1600" i="1">
              <a:effectLst/>
              <a:latin typeface="Times New Roman"/>
              <a:ea typeface="Calibri"/>
              <a:cs typeface="Arial"/>
            </a:rPr>
            <a:t>AIDS</a:t>
          </a:r>
          <a:r>
            <a:rPr lang="en-US" sz="1600">
              <a:effectLst/>
              <a:latin typeface="Times New Roman"/>
              <a:ea typeface="Calibri"/>
              <a:cs typeface="Arial"/>
            </a:rPr>
            <a:t>. 2010 Nov; 24(18): 2763–71.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review covering available technology for detection of recent HIV infection.</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14. B</a:t>
          </a:r>
          <a:r>
            <a:rPr kumimoji="0" lang="en-US" sz="1600" b="0" i="0" u="none" strike="noStrike" kern="0" cap="none" spc="0" normalizeH="0" baseline="0" noProof="0">
              <a:ln>
                <a:noFill/>
              </a:ln>
              <a:solidFill>
                <a:prstClr val="black"/>
              </a:solidFill>
              <a:effectLst/>
              <a:uLnTx/>
              <a:uFillTx/>
              <a:latin typeface="Times New Roman"/>
              <a:ea typeface="Calibri"/>
              <a:cs typeface="Arial"/>
            </a:rPr>
            <a:t>ä</a:t>
          </a:r>
          <a:r>
            <a:rPr lang="en-US" sz="1600">
              <a:effectLst/>
              <a:latin typeface="Times New Roman"/>
              <a:ea typeface="Calibri"/>
              <a:cs typeface="Arial"/>
            </a:rPr>
            <a:t>rnighausen T, McWalter TA, Rosner Z, Newell M-L, Welte A. HIV incidence estimation using the BED capture enzyme immunoassay: systematic review and sensitivity analysis. </a:t>
          </a:r>
          <a:r>
            <a:rPr lang="en-US" sz="1600" i="1">
              <a:effectLst/>
              <a:latin typeface="Times New Roman"/>
              <a:ea typeface="Calibri"/>
              <a:cs typeface="Arial"/>
            </a:rPr>
            <a:t>Epidemiology</a:t>
          </a:r>
          <a:r>
            <a:rPr lang="en-US" sz="1600">
              <a:effectLst/>
              <a:latin typeface="Times New Roman"/>
              <a:ea typeface="Calibri"/>
              <a:cs typeface="Arial"/>
            </a:rPr>
            <a:t>. 2010 Sep; 21(5): 685–97.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review of BED assay applications that explores sensitivity of incidence estimates to different formulation of the estimator (incidence formulae) and different calibration parameters of the assay.  With an interesting focus on good practices for reporting results.</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15. WHO. When and how to use assays for recent infection to estimate HIV incidence at a population level. 2010 Mar p. 1–60.</a:t>
          </a: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Available from: http://www.who.int/hiv/pub/surveillance/sti_surveillance/en/</a:t>
          </a:r>
        </a:p>
        <a:p>
          <a:pPr indent="449580" algn="just">
            <a:lnSpc>
              <a:spcPct val="115000"/>
            </a:lnSpc>
            <a:spcAft>
              <a:spcPts val="0"/>
            </a:spcAft>
          </a:pPr>
          <a:r>
            <a:rPr lang="en-US" sz="1600">
              <a:effectLst/>
              <a:latin typeface="Times New Roman"/>
              <a:ea typeface="Calibri"/>
              <a:cs typeface="Arial"/>
            </a:rPr>
            <a:t>A guidance document summarizing practical aspects of field application of a biomarker-based cross-sectional incidence study, with examples.</a:t>
          </a:r>
        </a:p>
        <a:p>
          <a:pPr indent="449580" algn="just">
            <a:lnSpc>
              <a:spcPct val="115000"/>
            </a:lnSpc>
            <a:spcAft>
              <a:spcPts val="0"/>
            </a:spcAft>
          </a:pPr>
          <a:endParaRPr lang="en-US" sz="1600">
            <a:effectLst/>
            <a:latin typeface="+mn-lt"/>
            <a:ea typeface="Calibri"/>
            <a:cs typeface="Arial"/>
          </a:endParaRPr>
        </a:p>
        <a:p>
          <a:pPr>
            <a:lnSpc>
              <a:spcPct val="115000"/>
            </a:lnSpc>
            <a:spcAft>
              <a:spcPts val="0"/>
            </a:spcAft>
          </a:pPr>
          <a:r>
            <a:rPr lang="en-US" sz="1600">
              <a:effectLst/>
              <a:latin typeface="Times New Roman"/>
              <a:ea typeface="Calibri"/>
              <a:cs typeface="Arial"/>
            </a:rPr>
            <a:t>16. Incidence Assay Critical Path Working Group. More and better information to tackle HIV epidemics: towards improved HIV incidence assays. </a:t>
          </a:r>
          <a:r>
            <a:rPr lang="en-US" sz="1600" i="1">
              <a:effectLst/>
              <a:latin typeface="Times New Roman"/>
              <a:ea typeface="Calibri"/>
              <a:cs typeface="Arial"/>
            </a:rPr>
            <a:t>PLoS Med</a:t>
          </a:r>
          <a:r>
            <a:rPr lang="en-US" sz="1600">
              <a:effectLst/>
              <a:latin typeface="Times New Roman"/>
              <a:ea typeface="Calibri"/>
              <a:cs typeface="Arial"/>
            </a:rPr>
            <a:t>. 2011 Jun; 8(6): e1001045.</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review of current effort and strategy of international groups and institutions to promote reliable incidence assays. </a:t>
          </a:r>
        </a:p>
        <a:p>
          <a:pPr indent="449580" algn="just">
            <a:lnSpc>
              <a:spcPct val="115000"/>
            </a:lnSpc>
            <a:spcAft>
              <a:spcPts val="0"/>
            </a:spcAft>
          </a:pPr>
          <a:endParaRPr lang="en-US" sz="1600">
            <a:effectLst/>
            <a:latin typeface="Times New Roman"/>
            <a:ea typeface="Calibri"/>
            <a:cs typeface="Arial"/>
          </a:endParaRPr>
        </a:p>
        <a:p>
          <a:pPr algn="just">
            <a:lnSpc>
              <a:spcPct val="115000"/>
            </a:lnSpc>
            <a:spcAft>
              <a:spcPts val="0"/>
            </a:spcAft>
          </a:pPr>
          <a:r>
            <a:rPr lang="en-US" sz="1600" b="1" u="sng">
              <a:effectLst/>
              <a:latin typeface="Times New Roman"/>
              <a:ea typeface="Calibri"/>
              <a:cs typeface="Arial"/>
            </a:rPr>
            <a:t>E.</a:t>
          </a:r>
          <a:r>
            <a:rPr lang="en-US" sz="1600" b="1" u="sng" baseline="0">
              <a:effectLst/>
              <a:latin typeface="Times New Roman"/>
              <a:ea typeface="Calibri"/>
              <a:cs typeface="Arial"/>
            </a:rPr>
            <a:t> On other HIV incidence estimation methods </a:t>
          </a:r>
          <a:endParaRPr lang="en-US" sz="1600" b="1" u="sng">
            <a:effectLst/>
            <a:latin typeface="Times New Roman"/>
            <a:ea typeface="Calibri"/>
            <a:cs typeface="Arial"/>
          </a:endParaRPr>
        </a:p>
        <a:p>
          <a:pPr algn="just">
            <a:lnSpc>
              <a:spcPct val="115000"/>
            </a:lnSpc>
            <a:spcAft>
              <a:spcPts val="0"/>
            </a:spcAft>
          </a:pPr>
          <a:endParaRPr lang="en-US" sz="800">
            <a:effectLst/>
            <a:latin typeface="Times New Roman"/>
            <a:ea typeface="Calibri"/>
            <a:cs typeface="Arial"/>
          </a:endParaRPr>
        </a:p>
        <a:p>
          <a:pPr algn="just">
            <a:lnSpc>
              <a:spcPct val="115000"/>
            </a:lnSpc>
            <a:spcAft>
              <a:spcPts val="0"/>
            </a:spcAft>
          </a:pPr>
          <a:r>
            <a:rPr lang="en-US" sz="1600">
              <a:effectLst/>
              <a:latin typeface="Times New Roman"/>
              <a:ea typeface="Calibri"/>
              <a:cs typeface="Arial"/>
            </a:rPr>
            <a:t>17. Brookmeyer R. Measuring the HIV/AIDS epidemic: approaches and challenges. </a:t>
          </a:r>
          <a:r>
            <a:rPr lang="en-US" sz="1600" i="1">
              <a:effectLst/>
              <a:latin typeface="Times New Roman"/>
              <a:ea typeface="Calibri"/>
              <a:cs typeface="Arial"/>
            </a:rPr>
            <a:t>Epidemiol Rev</a:t>
          </a:r>
          <a:r>
            <a:rPr lang="en-US" sz="1600">
              <a:effectLst/>
              <a:latin typeface="Times New Roman"/>
              <a:ea typeface="Calibri"/>
              <a:cs typeface="Arial"/>
            </a:rPr>
            <a:t>. 2010 Apr; 32(1): 26–37.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review of existing methods and remaining challenges to estimate HIV incidence (and prevalence).</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18. Stover J, Brown T, Marston M. Updates to the Spectrum/Estimation and Projection Package (EPP) model to estimate HIV trends for adults and children. </a:t>
          </a:r>
          <a:r>
            <a:rPr lang="en-US" sz="1600" i="1">
              <a:effectLst/>
              <a:latin typeface="Times New Roman"/>
              <a:ea typeface="Calibri"/>
              <a:cs typeface="Arial"/>
            </a:rPr>
            <a:t>Sex Transm Infect</a:t>
          </a:r>
          <a:r>
            <a:rPr lang="en-US" sz="1600">
              <a:effectLst/>
              <a:latin typeface="Times New Roman"/>
              <a:ea typeface="Calibri"/>
              <a:cs typeface="Arial"/>
            </a:rPr>
            <a:t>. 2012 Dec; 88 Suppl 2 :i11–16.</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report of latest development of WHO/UNAIDS m</a:t>
          </a:r>
          <a:r>
            <a:rPr lang="en-GB" sz="1600">
              <a:effectLst/>
              <a:latin typeface="Times New Roman"/>
              <a:ea typeface="Calibri"/>
              <a:cs typeface="Arial"/>
            </a:rPr>
            <a:t>odelling tools fitting prevalence data from HIV surveillance systems.</a:t>
          </a:r>
        </a:p>
        <a:p>
          <a:pPr indent="449580" algn="just">
            <a:lnSpc>
              <a:spcPct val="115000"/>
            </a:lnSpc>
            <a:spcAft>
              <a:spcPts val="0"/>
            </a:spcAft>
          </a:pPr>
          <a:r>
            <a:rPr lang="en-GB" sz="1600">
              <a:effectLst/>
              <a:latin typeface="Times New Roman"/>
              <a:ea typeface="Calibri"/>
              <a:cs typeface="Arial"/>
            </a:rPr>
            <a:t>  </a:t>
          </a:r>
          <a:endParaRPr lang="en-US" sz="1600">
            <a:effectLst/>
            <a:latin typeface="+mn-lt"/>
            <a:ea typeface="Calibri"/>
            <a:cs typeface="Arial"/>
          </a:endParaRPr>
        </a:p>
        <a:p>
          <a:pPr algn="just">
            <a:lnSpc>
              <a:spcPct val="115000"/>
            </a:lnSpc>
            <a:spcAft>
              <a:spcPts val="0"/>
            </a:spcAft>
          </a:pPr>
          <a:r>
            <a:rPr lang="en-US" sz="1600">
              <a:effectLst/>
              <a:latin typeface="Times New Roman"/>
              <a:ea typeface="Calibri"/>
              <a:cs typeface="Arial"/>
            </a:rPr>
            <a:t> 19. Mahiane GS, Ouifki R, Brand H, Delva W, Welte A. A general HIV incidence inference scheme based on likelihood of individual level data and a population renewal equation. </a:t>
          </a:r>
          <a:r>
            <a:rPr lang="en-US" sz="1600" i="1">
              <a:effectLst/>
              <a:latin typeface="Times New Roman"/>
              <a:ea typeface="Calibri"/>
              <a:cs typeface="Arial"/>
            </a:rPr>
            <a:t>PLoS ONE</a:t>
          </a:r>
          <a:r>
            <a:rPr lang="en-US" sz="1600">
              <a:effectLst/>
              <a:latin typeface="Times New Roman"/>
              <a:ea typeface="Calibri"/>
              <a:cs typeface="Arial"/>
            </a:rPr>
            <a:t>. 2012; 7(9): e44377.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The study evaluates by numerical simulations a new modelling approach that uses (individual) prevalence data and mortality rates to estimate HIV incidence. </a:t>
          </a:r>
        </a:p>
        <a:p>
          <a:pPr indent="449580" algn="just">
            <a:lnSpc>
              <a:spcPct val="115000"/>
            </a:lnSpc>
            <a:spcAft>
              <a:spcPts val="0"/>
            </a:spcAft>
          </a:pPr>
          <a:endParaRPr lang="en-US" sz="1600">
            <a:effectLst/>
            <a:latin typeface="Times New Roman"/>
            <a:ea typeface="Calibri"/>
            <a:cs typeface="Arial"/>
          </a:endParaRPr>
        </a:p>
        <a:p>
          <a:pPr algn="just">
            <a:lnSpc>
              <a:spcPct val="115000"/>
            </a:lnSpc>
            <a:spcAft>
              <a:spcPts val="0"/>
            </a:spcAft>
          </a:pPr>
          <a:r>
            <a:rPr lang="en-US" sz="1600" b="1" u="sng">
              <a:effectLst/>
              <a:latin typeface="Times New Roman"/>
              <a:ea typeface="Calibri"/>
              <a:cs typeface="Arial"/>
            </a:rPr>
            <a:t>F.</a:t>
          </a:r>
          <a:r>
            <a:rPr lang="en-US" sz="1600" b="1" u="sng" baseline="0">
              <a:effectLst/>
              <a:latin typeface="Times New Roman"/>
              <a:ea typeface="Calibri"/>
              <a:cs typeface="Arial"/>
            </a:rPr>
            <a:t> On laboratory-based estimation using case-based surveillance data</a:t>
          </a:r>
          <a:endParaRPr lang="en-US" sz="1600" b="1" u="sng">
            <a:effectLst/>
            <a:latin typeface="Times New Roman"/>
            <a:ea typeface="Calibri"/>
            <a:cs typeface="Arial"/>
          </a:endParaRPr>
        </a:p>
        <a:p>
          <a:pPr algn="just">
            <a:lnSpc>
              <a:spcPct val="115000"/>
            </a:lnSpc>
            <a:spcAft>
              <a:spcPts val="0"/>
            </a:spcAft>
          </a:pPr>
          <a:endParaRPr lang="en-US" sz="800">
            <a:effectLst/>
            <a:latin typeface="Times New Roman"/>
            <a:ea typeface="Calibri"/>
            <a:cs typeface="Arial"/>
          </a:endParaRPr>
        </a:p>
        <a:p>
          <a:pPr algn="just">
            <a:lnSpc>
              <a:spcPct val="115000"/>
            </a:lnSpc>
            <a:spcAft>
              <a:spcPts val="0"/>
            </a:spcAft>
          </a:pPr>
          <a:r>
            <a:rPr lang="en-US" sz="1600">
              <a:effectLst/>
              <a:latin typeface="Times New Roman"/>
              <a:ea typeface="Calibri"/>
              <a:cs typeface="Arial"/>
            </a:rPr>
            <a:t>20. Karon JM, Song R, Brookmeyer R, Kaplan EH, Hall HI. Estimating HIV incidence in the United States from HIV/AIDS surveillance data and biomarker HIV test results. </a:t>
          </a:r>
          <a:r>
            <a:rPr lang="en-US" sz="1600" i="1">
              <a:effectLst/>
              <a:latin typeface="Times New Roman"/>
              <a:ea typeface="Calibri"/>
              <a:cs typeface="Arial"/>
            </a:rPr>
            <a:t>Stat Med</a:t>
          </a:r>
          <a:r>
            <a:rPr lang="en-US" sz="1600">
              <a:effectLst/>
              <a:latin typeface="Times New Roman"/>
              <a:ea typeface="Calibri"/>
              <a:cs typeface="Arial"/>
            </a:rPr>
            <a:t>. 2008 Oct 15; 27(23): 4617–33. </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 landmark paper providing and evaluating by numerical simulations a new model to estimate HIV incidence (yearly number of new infections) based on recent infection status among new diagnoses reported in case-based surveillance. </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fr-FR" sz="1600">
              <a:effectLst/>
              <a:latin typeface="Times New Roman"/>
              <a:ea typeface="Calibri"/>
              <a:cs typeface="Arial"/>
            </a:rPr>
            <a:t>21. Hall HI, Song R, Rhodes PH, Prejean J, An Q, Lee LM, et al. </a:t>
          </a:r>
          <a:r>
            <a:rPr lang="en-US" sz="1600">
              <a:effectLst/>
              <a:latin typeface="Times New Roman"/>
              <a:ea typeface="Calibri"/>
              <a:cs typeface="Arial"/>
            </a:rPr>
            <a:t>Estimation of HIV incidence in the United States. </a:t>
          </a:r>
          <a:r>
            <a:rPr lang="en-US" sz="1600" i="1">
              <a:effectLst/>
              <a:latin typeface="Times New Roman"/>
              <a:ea typeface="Calibri"/>
              <a:cs typeface="Arial"/>
            </a:rPr>
            <a:t>JAMA</a:t>
          </a:r>
          <a:r>
            <a:rPr lang="en-US" sz="1600">
              <a:effectLst/>
              <a:latin typeface="Times New Roman"/>
              <a:ea typeface="Calibri"/>
              <a:cs typeface="Arial"/>
            </a:rPr>
            <a:t>. 2008 Août; 300(5): 520–9.</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Application in the US of Karon et al’s model based on recent infection testing plus a back-calculation model provide two independent HIV incidence estimates at a national level.</a:t>
          </a:r>
        </a:p>
        <a:p>
          <a:pPr indent="449580" algn="just">
            <a:lnSpc>
              <a:spcPct val="115000"/>
            </a:lnSpc>
            <a:spcAft>
              <a:spcPts val="0"/>
            </a:spcAft>
          </a:pPr>
          <a:endParaRPr lang="en-US" sz="1600">
            <a:effectLst/>
            <a:latin typeface="+mn-lt"/>
            <a:ea typeface="Calibri"/>
            <a:cs typeface="Arial"/>
          </a:endParaRPr>
        </a:p>
        <a:p>
          <a:pPr algn="just">
            <a:lnSpc>
              <a:spcPct val="115000"/>
            </a:lnSpc>
            <a:spcAft>
              <a:spcPts val="0"/>
            </a:spcAft>
          </a:pPr>
          <a:r>
            <a:rPr lang="fr-FR" sz="1600">
              <a:effectLst/>
              <a:latin typeface="Times New Roman"/>
              <a:ea typeface="Calibri"/>
              <a:cs typeface="Arial"/>
            </a:rPr>
            <a:t>22. Le Vu S, Le Strat Y, Barin F, Pillonel J, Cazein F, Bousquet V, et al. </a:t>
          </a:r>
          <a:r>
            <a:rPr lang="en-US" sz="1600">
              <a:effectLst/>
              <a:latin typeface="Times New Roman"/>
              <a:ea typeface="Calibri"/>
              <a:cs typeface="Arial"/>
            </a:rPr>
            <a:t>Population-based HIV-1 incidence in France, 2003-08: a modelling analysis. </a:t>
          </a:r>
          <a:r>
            <a:rPr lang="en-US" sz="1600" i="1">
              <a:effectLst/>
              <a:latin typeface="Times New Roman"/>
              <a:ea typeface="Calibri"/>
              <a:cs typeface="Arial"/>
            </a:rPr>
            <a:t>Lancet Infect Dis</a:t>
          </a:r>
          <a:r>
            <a:rPr lang="en-US" sz="1600">
              <a:effectLst/>
              <a:latin typeface="Times New Roman"/>
              <a:ea typeface="Calibri"/>
              <a:cs typeface="Arial"/>
            </a:rPr>
            <a:t>. 2010 Oct; 10(10): 682–7.</a:t>
          </a:r>
          <a:endParaRPr lang="en-US" sz="1600">
            <a:effectLst/>
            <a:latin typeface="+mn-lt"/>
            <a:ea typeface="Calibri"/>
            <a:cs typeface="Arial"/>
          </a:endParaRPr>
        </a:p>
        <a:p>
          <a:pPr indent="449580" algn="just">
            <a:lnSpc>
              <a:spcPct val="115000"/>
            </a:lnSpc>
            <a:spcAft>
              <a:spcPts val="0"/>
            </a:spcAft>
          </a:pPr>
          <a:r>
            <a:rPr lang="en-US" sz="1600">
              <a:effectLst/>
              <a:latin typeface="Times New Roman"/>
              <a:ea typeface="Calibri"/>
              <a:cs typeface="Arial"/>
            </a:rPr>
            <a:t>Application in France of a Karon-like model to estimate HIV incidence rates in different subgroups at a national level.</a:t>
          </a:r>
          <a:endParaRPr lang="en-US" sz="1600">
            <a:effectLst/>
            <a:latin typeface="+mn-lt"/>
            <a:ea typeface="Calibri"/>
            <a:cs typeface="Arial"/>
          </a:endParaRPr>
        </a:p>
        <a:p>
          <a:pPr>
            <a:lnSpc>
              <a:spcPct val="115000"/>
            </a:lnSpc>
            <a:spcAft>
              <a:spcPts val="0"/>
            </a:spcAft>
          </a:pPr>
          <a:endParaRPr lang="en-ZA" sz="2400" b="1">
            <a:effectLst/>
            <a:latin typeface="Times New Roman"/>
            <a:ea typeface="Calibri"/>
            <a:cs typeface="Arial"/>
          </a:endParaRPr>
        </a:p>
        <a:p>
          <a:pPr>
            <a:lnSpc>
              <a:spcPct val="115000"/>
            </a:lnSpc>
            <a:spcAft>
              <a:spcPts val="0"/>
            </a:spcAft>
          </a:pPr>
          <a:r>
            <a:rPr lang="en-ZA" sz="2400" b="1">
              <a:effectLst/>
              <a:latin typeface="Times New Roman"/>
              <a:ea typeface="Calibri"/>
              <a:cs typeface="Arial"/>
            </a:rPr>
            <a:t>Glossary</a:t>
          </a:r>
          <a:endParaRPr lang="en-US" sz="800">
            <a:effectLst/>
            <a:latin typeface="+mn-lt"/>
            <a:ea typeface="Calibri"/>
            <a:cs typeface="Arial"/>
          </a:endParaRPr>
        </a:p>
        <a:p>
          <a:pPr>
            <a:lnSpc>
              <a:spcPct val="115000"/>
            </a:lnSpc>
            <a:spcAft>
              <a:spcPts val="0"/>
            </a:spcAft>
          </a:pPr>
          <a:r>
            <a:rPr lang="en-ZA" sz="1600">
              <a:effectLst/>
              <a:latin typeface="Times New Roman"/>
              <a:ea typeface="Calibri"/>
              <a:cs typeface="Arial"/>
            </a:rPr>
            <a:t>The suite of tools repeated uses some common or specialised (to this sub-field) terms which it may be prudent to define here. These are not detailed technical definitions, but are intended to serve as reminders, or, should they be unclear, would serve to highlight the need to investigate primary sources.</a:t>
          </a:r>
        </a:p>
        <a:p>
          <a:pPr>
            <a:lnSpc>
              <a:spcPct val="115000"/>
            </a:lnSpc>
            <a:spcAft>
              <a:spcPts val="0"/>
            </a:spcAft>
          </a:pPr>
          <a:endParaRPr lang="en-US" sz="8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a:ea typeface="Calibri"/>
              <a:cs typeface="Arial"/>
            </a:rPr>
            <a:t>HIV infected individual:</a:t>
          </a:r>
          <a:r>
            <a:rPr lang="en-ZA" sz="1600">
              <a:effectLst/>
              <a:latin typeface="Times New Roman"/>
              <a:ea typeface="Calibri"/>
              <a:cs typeface="Arial"/>
            </a:rPr>
            <a:t> The protocol-specific case definition for HIV infected individual needs to be very clearly understood. This is because there is no universal standard, although there have for some years been minor variants on protocol involving sensitive screening tests and highly specific “confirmatory” tests.  This is shifting even for clinical practice, and is even more fluid for research settings, which may use viral nucleic acid and antigen detection, and not even need classical serology for confirmation of HIV infection.</a:t>
          </a:r>
        </a:p>
        <a:p>
          <a:pPr marL="342900" lvl="0" indent="-342900">
            <a:lnSpc>
              <a:spcPct val="115000"/>
            </a:lnSpc>
            <a:spcAft>
              <a:spcPts val="0"/>
            </a:spcAft>
            <a:buFont typeface="Symbol"/>
            <a:buChar char=""/>
          </a:pPr>
          <a:endParaRPr lang="en-US" sz="8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panose="02020603050405020304" pitchFamily="18" charset="0"/>
              <a:ea typeface="Calibri"/>
              <a:cs typeface="Times New Roman" panose="02020603050405020304" pitchFamily="18" charset="0"/>
            </a:rPr>
            <a:t>Mean duration of recent infection (MDRI):</a:t>
          </a:r>
          <a:r>
            <a:rPr lang="en-ZA" sz="1600">
              <a:effectLst/>
              <a:latin typeface="Times New Roman" panose="02020603050405020304" pitchFamily="18" charset="0"/>
              <a:ea typeface="Calibri"/>
              <a:cs typeface="Times New Roman" panose="02020603050405020304" pitchFamily="18" charset="0"/>
            </a:rPr>
            <a:t> The average time for which subjects satisfy a particular “recent infection” case definition, </a:t>
          </a:r>
          <a:r>
            <a:rPr lang="en-ZA" sz="1600" i="1">
              <a:effectLst/>
              <a:latin typeface="Times New Roman" panose="02020603050405020304" pitchFamily="18" charset="0"/>
              <a:ea typeface="Calibri"/>
              <a:cs typeface="Times New Roman" panose="02020603050405020304" pitchFamily="18" charset="0"/>
            </a:rPr>
            <a:t>within</a:t>
          </a:r>
          <a:r>
            <a:rPr lang="en-ZA" sz="1600">
              <a:effectLst/>
              <a:latin typeface="Times New Roman" panose="02020603050405020304" pitchFamily="18" charset="0"/>
              <a:ea typeface="Calibri"/>
              <a:cs typeface="Times New Roman" panose="02020603050405020304" pitchFamily="18" charset="0"/>
            </a:rPr>
            <a:t> a specified recency cut-off time T after (verifiable) infection (which is context/protocol specific).</a:t>
          </a:r>
        </a:p>
        <a:p>
          <a:pPr marL="342900" lvl="0" indent="-342900">
            <a:lnSpc>
              <a:spcPct val="115000"/>
            </a:lnSpc>
            <a:spcAft>
              <a:spcPts val="0"/>
            </a:spcAft>
            <a:buFont typeface="Symbol"/>
            <a:buChar char=""/>
          </a:pPr>
          <a:endParaRPr lang="en-US" sz="800">
            <a:effectLst/>
            <a:latin typeface="Times New Roman" panose="02020603050405020304" pitchFamily="18" charset="0"/>
            <a:ea typeface="Calibri"/>
            <a:cs typeface="Times New Roman" panose="02020603050405020304" pitchFamily="18" charset="0"/>
          </a:endParaRPr>
        </a:p>
        <a:p>
          <a:pPr marL="342900" lvl="0" indent="-342900">
            <a:lnSpc>
              <a:spcPct val="115000"/>
            </a:lnSpc>
            <a:spcAft>
              <a:spcPts val="0"/>
            </a:spcAft>
            <a:buFont typeface="Symbol"/>
            <a:buChar char=""/>
          </a:pPr>
          <a:r>
            <a:rPr lang="en-ZA" sz="1600" b="1">
              <a:effectLst/>
              <a:latin typeface="Times New Roman" panose="02020603050405020304" pitchFamily="18" charset="0"/>
              <a:ea typeface="Calibri"/>
              <a:cs typeface="Times New Roman" panose="02020603050405020304" pitchFamily="18" charset="0"/>
            </a:rPr>
            <a:t>False-recent rate (FRR):</a:t>
          </a:r>
          <a:r>
            <a:rPr lang="en-ZA" sz="1600">
              <a:effectLst/>
              <a:latin typeface="Times New Roman" panose="02020603050405020304" pitchFamily="18" charset="0"/>
              <a:ea typeface="Calibri"/>
              <a:cs typeface="Times New Roman" panose="02020603050405020304" pitchFamily="18" charset="0"/>
            </a:rPr>
            <a:t> The (context specific) fraction of tests, performed on individuals infected for more than the time cut-off T, which produce a (false) recent result.  This term has seen many variants.  FRR is inspired by the long used term “error rate” to refer to the fraction of tests which fail in some sense.  Note that there is fundamentally no such thing as a false non-recent result – the phenomenon that some individuals transition to the non-recent case definition at relatively early times post-infection, compared to the average time, is accounted for in the MDRI.</a:t>
          </a:r>
        </a:p>
        <a:p>
          <a:pPr marL="342900" lvl="0" indent="-342900">
            <a:lnSpc>
              <a:spcPct val="115000"/>
            </a:lnSpc>
            <a:spcAft>
              <a:spcPts val="0"/>
            </a:spcAft>
            <a:buFont typeface="Symbol"/>
            <a:buChar char=""/>
          </a:pPr>
          <a:endParaRPr lang="en-US" sz="800">
            <a:effectLst/>
            <a:latin typeface="Times New Roman" panose="02020603050405020304" pitchFamily="18" charset="0"/>
            <a:ea typeface="Calibri"/>
            <a:cs typeface="Times New Roman" panose="02020603050405020304" pitchFamily="18" charset="0"/>
          </a:endParaRPr>
        </a:p>
        <a:p>
          <a:pPr marL="342900" lvl="0" indent="-342900">
            <a:lnSpc>
              <a:spcPct val="115000"/>
            </a:lnSpc>
            <a:spcAft>
              <a:spcPts val="0"/>
            </a:spcAft>
            <a:buFont typeface="Symbol"/>
            <a:buChar char=""/>
          </a:pPr>
          <a:r>
            <a:rPr lang="en-ZA" sz="1600" b="1">
              <a:effectLst/>
              <a:latin typeface="Times New Roman"/>
              <a:ea typeface="Calibri"/>
              <a:cs typeface="Arial"/>
            </a:rPr>
            <a:t>Incidence as a (or, an “instantaneous”) rate:</a:t>
          </a:r>
          <a:r>
            <a:rPr lang="en-ZA" sz="1600">
              <a:effectLst/>
              <a:latin typeface="Times New Roman"/>
              <a:ea typeface="Calibri"/>
              <a:cs typeface="Arial"/>
            </a:rPr>
            <a:t> This is the most fundamental metric for expressing the rate at which HIV infections occur in the susceptible (aka “at risk”) population, and is naturally expressed as a number of (infection) events per person time at risk in the referenced susceptible population.  In the case of some other epidemiological contexts (such as influenza) it is not uncommon to refer to person time in the entire population, rather than the susceptible sub-population.  While, in principle, any unit of time may be used (days, weeks, months) the usual unit in HIV discourse is the year.  </a:t>
          </a:r>
          <a:r>
            <a:rPr lang="en-ZA" sz="1600" i="1">
              <a:effectLst/>
              <a:latin typeface="Times New Roman"/>
              <a:ea typeface="Calibri"/>
              <a:cs typeface="Arial"/>
            </a:rPr>
            <a:t>The value of such a rate can in principle take any value</a:t>
          </a:r>
          <a:r>
            <a:rPr lang="en-ZA" sz="1600">
              <a:effectLst/>
              <a:latin typeface="Times New Roman"/>
              <a:ea typeface="Calibri"/>
              <a:cs typeface="Arial"/>
            </a:rPr>
            <a:t>, as it changes with choice of units in which time is measured.</a:t>
          </a:r>
        </a:p>
        <a:p>
          <a:pPr marL="342900" lvl="0" indent="-342900">
            <a:lnSpc>
              <a:spcPct val="115000"/>
            </a:lnSpc>
            <a:spcAft>
              <a:spcPts val="0"/>
            </a:spcAft>
            <a:buFont typeface="Symbol"/>
            <a:buChar char=""/>
          </a:pPr>
          <a:endParaRPr lang="en-US" sz="8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a:ea typeface="Calibri"/>
              <a:cs typeface="Arial"/>
            </a:rPr>
            <a:t>Annual(ised) risk of infection:</a:t>
          </a:r>
          <a:r>
            <a:rPr lang="en-ZA" sz="1600">
              <a:effectLst/>
              <a:latin typeface="Times New Roman"/>
              <a:ea typeface="Calibri"/>
              <a:cs typeface="Arial"/>
            </a:rPr>
            <a:t> It is also common to report the “cumulative” probability of infection over a specific period of time, such as one year.  It is a subtle point, not worth expositing here in detail, that the instantaneous incidence, with time measured in years, is not, in principle, the same value as the annual risk of infection.  Suffice to note that incidence can take any value for any period of time (depending on choice of units and varying risk factors) but the probability of infection cumulated over a particular time period is always a number between zero and one.</a:t>
          </a:r>
        </a:p>
        <a:p>
          <a:pPr marL="342900" lvl="0" indent="-342900">
            <a:lnSpc>
              <a:spcPct val="115000"/>
            </a:lnSpc>
            <a:spcAft>
              <a:spcPts val="0"/>
            </a:spcAft>
            <a:buFont typeface="Symbol"/>
            <a:buChar char=""/>
          </a:pPr>
          <a:endParaRPr lang="en-US" sz="8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a:ea typeface="Calibri"/>
              <a:cs typeface="Arial"/>
            </a:rPr>
            <a:t>Recency time cut-off T (“Big T”):</a:t>
          </a:r>
          <a:r>
            <a:rPr lang="en-ZA" sz="1600">
              <a:effectLst/>
              <a:latin typeface="Times New Roman"/>
              <a:ea typeface="Calibri"/>
              <a:cs typeface="Arial"/>
            </a:rPr>
            <a:t> On account of the fact that it is possible for a recency test to classify some individuals as recently infected at long times post infection, the use of a time cut-off T has been introduced to assist in the housekeeping.  The details of how this works are well beyond the scope of this user guide.</a:t>
          </a:r>
        </a:p>
        <a:p>
          <a:pPr marL="342900" lvl="0" indent="-342900">
            <a:lnSpc>
              <a:spcPct val="115000"/>
            </a:lnSpc>
            <a:spcAft>
              <a:spcPts val="0"/>
            </a:spcAft>
            <a:buFont typeface="Symbol"/>
            <a:buChar char=""/>
          </a:pPr>
          <a:endParaRPr lang="en-US" sz="8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a:ea typeface="Calibri"/>
              <a:cs typeface="Arial"/>
            </a:rPr>
            <a:t>Relative standard error (RSE): </a:t>
          </a:r>
          <a:r>
            <a:rPr lang="en-ZA" sz="1600">
              <a:effectLst/>
              <a:latin typeface="Times New Roman"/>
              <a:ea typeface="Calibri"/>
              <a:cs typeface="Arial"/>
            </a:rPr>
            <a:t>This widely used term refers to the ratio of a the standard error of an estimate divided by the point estimate. </a:t>
          </a:r>
        </a:p>
        <a:p>
          <a:pPr marL="342900" lvl="0" indent="-342900">
            <a:lnSpc>
              <a:spcPct val="115000"/>
            </a:lnSpc>
            <a:spcAft>
              <a:spcPts val="0"/>
            </a:spcAft>
            <a:buFont typeface="Symbol"/>
            <a:buChar char=""/>
          </a:pPr>
          <a:endParaRPr lang="en-US" sz="8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a:ea typeface="Calibri"/>
              <a:cs typeface="Arial"/>
            </a:rPr>
            <a:t>Null hypothesis:</a:t>
          </a:r>
          <a:r>
            <a:rPr lang="en-ZA" sz="1600">
              <a:effectLst/>
              <a:latin typeface="Times New Roman"/>
              <a:ea typeface="Calibri"/>
              <a:cs typeface="Arial"/>
            </a:rPr>
            <a:t> A usually artificial assumption (not necessarily strongly believed, and perhaps strongly suspected to be false) which data either falsifies or fails to falsify.</a:t>
          </a:r>
        </a:p>
        <a:p>
          <a:pPr marL="342900" lvl="0" indent="-342900">
            <a:lnSpc>
              <a:spcPct val="115000"/>
            </a:lnSpc>
            <a:spcAft>
              <a:spcPts val="0"/>
            </a:spcAft>
            <a:buFont typeface="Symbol"/>
            <a:buChar char=""/>
          </a:pPr>
          <a:endParaRPr lang="en-US" sz="8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a:ea typeface="Calibri"/>
              <a:cs typeface="Arial"/>
            </a:rPr>
            <a:t>p-value:</a:t>
          </a:r>
          <a:r>
            <a:rPr lang="en-ZA" sz="1600">
              <a:effectLst/>
              <a:latin typeface="Times New Roman"/>
              <a:ea typeface="Calibri"/>
              <a:cs typeface="Arial"/>
            </a:rPr>
            <a:t> The probability, calculated under a particular null hypothesis, of seeing a specified deviation from a null value in a test-statistic under consideration.  The classic p-value in this context answers the question: If the incidence were really the same in two populations which have been surveyed, what is the probability of seeing a point estimate of the incidence difference, the absolute value of which is at least as large as the one observed?</a:t>
          </a:r>
        </a:p>
        <a:p>
          <a:pPr marL="342900" lvl="0" indent="-342900">
            <a:lnSpc>
              <a:spcPct val="115000"/>
            </a:lnSpc>
            <a:spcAft>
              <a:spcPts val="0"/>
            </a:spcAft>
            <a:buFont typeface="Symbol"/>
            <a:buChar char=""/>
          </a:pPr>
          <a:endParaRPr lang="en-US" sz="8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a:ea typeface="Calibri"/>
              <a:cs typeface="Arial"/>
            </a:rPr>
            <a:t>Significance:</a:t>
          </a:r>
          <a:r>
            <a:rPr lang="en-ZA" sz="1600">
              <a:effectLst/>
              <a:latin typeface="Times New Roman"/>
              <a:ea typeface="Calibri"/>
              <a:cs typeface="Arial"/>
            </a:rPr>
            <a:t> This widely used term refers to a threshold on a </a:t>
          </a:r>
          <a:r>
            <a:rPr lang="en-ZA" sz="1600" i="0">
              <a:effectLst/>
              <a:latin typeface="Times New Roman"/>
              <a:ea typeface="Calibri"/>
              <a:cs typeface="Arial"/>
            </a:rPr>
            <a:t>p-value, </a:t>
          </a:r>
          <a:r>
            <a:rPr lang="en-ZA" sz="1600">
              <a:effectLst/>
              <a:latin typeface="Times New Roman"/>
              <a:ea typeface="Calibri"/>
              <a:cs typeface="Arial"/>
            </a:rPr>
            <a:t>below which the experimenters will reject a given null hypothesis.</a:t>
          </a:r>
        </a:p>
        <a:p>
          <a:pPr marL="342900" lvl="0" indent="-342900">
            <a:lnSpc>
              <a:spcPct val="115000"/>
            </a:lnSpc>
            <a:spcAft>
              <a:spcPts val="0"/>
            </a:spcAft>
            <a:buFont typeface="Symbol"/>
            <a:buChar char=""/>
          </a:pPr>
          <a:endParaRPr lang="en-US" sz="800">
            <a:effectLst/>
            <a:latin typeface="+mn-lt"/>
            <a:ea typeface="Calibri"/>
            <a:cs typeface="Arial"/>
          </a:endParaRPr>
        </a:p>
        <a:p>
          <a:pPr marL="342900" lvl="0" indent="-342900">
            <a:lnSpc>
              <a:spcPct val="115000"/>
            </a:lnSpc>
            <a:spcAft>
              <a:spcPts val="0"/>
            </a:spcAft>
            <a:buFont typeface="Symbol"/>
            <a:buChar char=""/>
          </a:pPr>
          <a:r>
            <a:rPr lang="en-ZA" sz="1600" b="1">
              <a:effectLst/>
              <a:latin typeface="Times New Roman" panose="02020603050405020304" pitchFamily="18" charset="0"/>
              <a:ea typeface="Calibri"/>
              <a:cs typeface="Times New Roman" panose="02020603050405020304" pitchFamily="18" charset="0"/>
            </a:rPr>
            <a:t>Sample size:</a:t>
          </a:r>
          <a:r>
            <a:rPr lang="en-ZA" sz="1600">
              <a:effectLst/>
              <a:latin typeface="Times New Roman" panose="02020603050405020304" pitchFamily="18" charset="0"/>
              <a:ea typeface="Calibri"/>
              <a:cs typeface="Times New Roman" panose="02020603050405020304" pitchFamily="18" charset="0"/>
            </a:rPr>
            <a:t> The total number of individuals whose HIV status has been, or is proposed to be, assessed. </a:t>
          </a:r>
        </a:p>
        <a:p>
          <a:pPr marL="342900" lvl="0" indent="-342900">
            <a:lnSpc>
              <a:spcPct val="115000"/>
            </a:lnSpc>
            <a:spcAft>
              <a:spcPts val="0"/>
            </a:spcAft>
            <a:buFont typeface="Symbol"/>
            <a:buChar char=""/>
          </a:pPr>
          <a:endParaRPr lang="en-US" sz="800">
            <a:effectLst/>
            <a:latin typeface="Times New Roman" panose="02020603050405020304" pitchFamily="18" charset="0"/>
            <a:ea typeface="Calibri"/>
            <a:cs typeface="Times New Roman" panose="02020603050405020304" pitchFamily="18" charset="0"/>
          </a:endParaRPr>
        </a:p>
        <a:p>
          <a:pPr marL="342900" lvl="0" indent="-342900">
            <a:lnSpc>
              <a:spcPct val="115000"/>
            </a:lnSpc>
            <a:spcAft>
              <a:spcPts val="0"/>
            </a:spcAft>
            <a:buFont typeface="Symbol"/>
            <a:buChar char=""/>
          </a:pPr>
          <a:r>
            <a:rPr lang="en-ZA" sz="1600" b="1">
              <a:effectLst/>
              <a:latin typeface="Times New Roman" panose="02020603050405020304" pitchFamily="18" charset="0"/>
              <a:ea typeface="Calibri"/>
              <a:cs typeface="Times New Roman" panose="02020603050405020304" pitchFamily="18" charset="0"/>
            </a:rPr>
            <a:t>Design effect:</a:t>
          </a:r>
          <a:r>
            <a:rPr lang="en-ZA" sz="1600">
              <a:effectLst/>
              <a:latin typeface="Times New Roman" panose="02020603050405020304" pitchFamily="18" charset="0"/>
              <a:ea typeface="Calibri"/>
              <a:cs typeface="Times New Roman" panose="02020603050405020304" pitchFamily="18" charset="0"/>
            </a:rPr>
            <a:t> This parameter captures the impact of hierarchical (clustered) sampling, and reports the ratio of the actual variance of a metric (such as a prevalence of some defined case) to the variance that would be obtained for the same metric if the individuals surveyed had been drawn independently from a large population rather than from initially selected regions/clusters.</a:t>
          </a:r>
          <a:endParaRPr lang="en-US" sz="1600">
            <a:effectLst/>
            <a:latin typeface="Times New Roman" panose="02020603050405020304" pitchFamily="18" charset="0"/>
            <a:ea typeface="Calibri"/>
            <a:cs typeface="Times New Roman" panose="02020603050405020304" pitchFamily="18" charset="0"/>
          </a:endParaRPr>
        </a:p>
        <a:p>
          <a:endParaRPr lang="en-US" sz="2400">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647699</xdr:colOff>
      <xdr:row>3</xdr:row>
      <xdr:rowOff>123820</xdr:rowOff>
    </xdr:from>
    <xdr:ext cx="11258551" cy="27698705"/>
    <xdr:sp macro="" textlink="">
      <xdr:nvSpPr>
        <xdr:cNvPr id="2" name="1 CuadroTexto"/>
        <xdr:cNvSpPr txBox="1"/>
      </xdr:nvSpPr>
      <xdr:spPr>
        <a:xfrm>
          <a:off x="647699" y="609595"/>
          <a:ext cx="11258551" cy="2769870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457200" algn="ctr" defTabSz="914400" eaLnBrk="1" fontAlgn="auto" latinLnBrk="0" hangingPunct="1">
            <a:lnSpc>
              <a:spcPct val="115000"/>
            </a:lnSpc>
            <a:spcBef>
              <a:spcPts val="0"/>
            </a:spcBef>
            <a:spcAft>
              <a:spcPts val="0"/>
            </a:spcAft>
            <a:buClrTx/>
            <a:buSzTx/>
            <a:buFontTx/>
            <a:buNone/>
            <a:tabLst/>
            <a:defRPr/>
          </a:pPr>
          <a:r>
            <a:rPr kumimoji="0" lang="en-US" sz="3600" b="1" i="0" u="none" strike="noStrike" kern="0" cap="none" spc="0" normalizeH="0" baseline="0" noProof="0">
              <a:ln>
                <a:noFill/>
              </a:ln>
              <a:solidFill>
                <a:srgbClr val="000000"/>
              </a:solidFill>
              <a:effectLst/>
              <a:uLnTx/>
              <a:uFillTx/>
              <a:latin typeface="Times New Roman"/>
              <a:ea typeface="Calibri"/>
              <a:cs typeface="Arial"/>
            </a:rPr>
            <a:t> </a:t>
          </a:r>
          <a:r>
            <a:rPr kumimoji="0" lang="en-ZA" sz="2400" b="1" i="0" u="none" strike="noStrike" kern="0" cap="none" spc="0" normalizeH="0" baseline="0" noProof="0">
              <a:ln>
                <a:noFill/>
              </a:ln>
              <a:solidFill>
                <a:srgbClr val="000000"/>
              </a:solidFill>
              <a:effectLst/>
              <a:uLnTx/>
              <a:uFillTx/>
              <a:latin typeface="Times New Roman"/>
              <a:ea typeface="Calibri"/>
              <a:cs typeface="Arial"/>
            </a:rPr>
            <a:t>User Guide</a:t>
          </a:r>
        </a:p>
        <a:p>
          <a:pPr marL="0" marR="0" lvl="0" indent="457200" algn="ctr" defTabSz="914400" eaLnBrk="1" fontAlgn="auto" latinLnBrk="0" hangingPunct="1">
            <a:lnSpc>
              <a:spcPct val="115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457200" algn="ctr" defTabSz="914400" eaLnBrk="1" fontAlgn="auto" latinLnBrk="0" hangingPunct="1">
            <a:lnSpc>
              <a:spcPct val="115000"/>
            </a:lnSpc>
            <a:spcBef>
              <a:spcPts val="0"/>
            </a:spcBef>
            <a:spcAft>
              <a:spcPts val="0"/>
            </a:spcAft>
            <a:buClrTx/>
            <a:buSzTx/>
            <a:buFontTx/>
            <a:buNone/>
            <a:tabLst/>
            <a:defRPr/>
          </a:pPr>
          <a:r>
            <a:rPr kumimoji="0" lang="en-ZA" sz="2400" b="1" i="0" u="none" strike="noStrike" kern="0" cap="none" spc="0" normalizeH="0" baseline="0" noProof="0">
              <a:ln>
                <a:noFill/>
              </a:ln>
              <a:solidFill>
                <a:srgbClr val="000000"/>
              </a:solidFill>
              <a:effectLst/>
              <a:uLnTx/>
              <a:uFillTx/>
              <a:latin typeface="Times New Roman"/>
              <a:ea typeface="Calibri"/>
              <a:cs typeface="Arial"/>
            </a:rPr>
            <a:t> Assay-Based Incidence Estimation (ABIE) v3:</a:t>
          </a:r>
          <a:endParaRPr kumimoji="0" lang="en-US" sz="2400" b="0" i="0" u="none" strike="noStrike" kern="0" cap="none" spc="0" normalizeH="0" baseline="0" noProof="0">
            <a:ln>
              <a:noFill/>
            </a:ln>
            <a:solidFill>
              <a:prstClr val="black"/>
            </a:solidFill>
            <a:effectLst/>
            <a:uLnTx/>
            <a:uFillTx/>
            <a:latin typeface="Times New Roman"/>
            <a:ea typeface="Times New Roman"/>
            <a:cs typeface="+mn-cs"/>
          </a:endParaRPr>
        </a:p>
        <a:p>
          <a:pPr indent="457200" algn="ctr">
            <a:lnSpc>
              <a:spcPct val="115000"/>
            </a:lnSpc>
            <a:spcAft>
              <a:spcPts val="0"/>
            </a:spcAft>
          </a:pPr>
          <a:r>
            <a:rPr lang="en-ZA" sz="2400" b="1">
              <a:solidFill>
                <a:srgbClr val="000000"/>
              </a:solidFill>
              <a:effectLst/>
              <a:latin typeface="Times New Roman"/>
              <a:ea typeface="SimSun"/>
              <a:cs typeface="Arial"/>
            </a:rPr>
            <a:t>Test Performance Calculator</a:t>
          </a:r>
          <a:endParaRPr lang="en-US" sz="1800">
            <a:effectLst/>
            <a:latin typeface="Times New Roman"/>
            <a:ea typeface="Times New Roman"/>
          </a:endParaRPr>
        </a:p>
        <a:p>
          <a:pPr indent="457200" algn="ctr">
            <a:lnSpc>
              <a:spcPct val="115000"/>
            </a:lnSpc>
            <a:spcAft>
              <a:spcPts val="0"/>
            </a:spcAft>
          </a:pPr>
          <a:r>
            <a:rPr lang="en-US" sz="2400">
              <a:effectLst/>
              <a:latin typeface="Times New Roman"/>
              <a:ea typeface="Times New Roman"/>
            </a:rPr>
            <a:t> </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It is recommended that users of the </a:t>
          </a:r>
          <a:r>
            <a:rPr lang="en-ZA" sz="1600" b="1">
              <a:solidFill>
                <a:srgbClr val="000000"/>
              </a:solidFill>
              <a:effectLst/>
              <a:latin typeface="Times New Roman"/>
              <a:ea typeface="Calibri"/>
              <a:cs typeface="Arial"/>
            </a:rPr>
            <a:t>Test_Performance_Calculator </a:t>
          </a:r>
          <a:r>
            <a:rPr lang="en-ZA" sz="1600">
              <a:solidFill>
                <a:srgbClr val="000000"/>
              </a:solidFill>
              <a:effectLst/>
              <a:latin typeface="Times New Roman"/>
              <a:ea typeface="Calibri"/>
              <a:cs typeface="Arial"/>
            </a:rPr>
            <a:t>workbook read through this calculator-specific user guide before using the calculator.</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 </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In addition to this workbook-specific guide, users will need to familiarise themselves with the overall ABIE user guide/version 3 release note, which can be found on a separate tab &lt;</a:t>
          </a:r>
          <a:r>
            <a:rPr lang="en-ZA" sz="1600" i="1">
              <a:solidFill>
                <a:srgbClr val="000000"/>
              </a:solidFill>
              <a:effectLst/>
              <a:latin typeface="Times New Roman"/>
              <a:ea typeface="Calibri"/>
              <a:cs typeface="Arial"/>
            </a:rPr>
            <a:t>About ABIE v3</a:t>
          </a:r>
          <a:r>
            <a:rPr lang="en-ZA" sz="1600">
              <a:solidFill>
                <a:srgbClr val="000000"/>
              </a:solidFill>
              <a:effectLst/>
              <a:latin typeface="Times New Roman"/>
              <a:ea typeface="Calibri"/>
              <a:cs typeface="Arial"/>
            </a:rPr>
            <a:t>&gt; in this workbook.  The overall ABIE guide provides important contextual information, including suggested further reading, relevant to the correct use of this tool; in particular, critical information on </a:t>
          </a:r>
          <a:endParaRPr lang="en-US" sz="1800">
            <a:effectLst/>
            <a:latin typeface="Times New Roman"/>
            <a:ea typeface="Times New Roman"/>
          </a:endParaRPr>
        </a:p>
        <a:p>
          <a:pPr marL="342900" lvl="0" indent="-342900">
            <a:lnSpc>
              <a:spcPct val="115000"/>
            </a:lnSpc>
            <a:spcAft>
              <a:spcPts val="0"/>
            </a:spcAft>
            <a:buFont typeface="Symbol"/>
            <a:buChar char=""/>
          </a:pPr>
          <a:r>
            <a:rPr lang="en-ZA" sz="1600">
              <a:solidFill>
                <a:srgbClr val="000000"/>
              </a:solidFill>
              <a:effectLst/>
              <a:latin typeface="Times New Roman"/>
              <a:ea typeface="Calibri"/>
              <a:cs typeface="Arial"/>
            </a:rPr>
            <a:t>nuanced concepts around input requirements and the meaning of outputs, and</a:t>
          </a:r>
          <a:endParaRPr lang="en-US" sz="1800">
            <a:effectLst/>
            <a:latin typeface="Times New Roman"/>
            <a:ea typeface="Times New Roman"/>
          </a:endParaRPr>
        </a:p>
        <a:p>
          <a:pPr marL="342900" lvl="0" indent="-342900">
            <a:lnSpc>
              <a:spcPct val="115000"/>
            </a:lnSpc>
            <a:spcAft>
              <a:spcPts val="0"/>
            </a:spcAft>
            <a:buFont typeface="Symbol"/>
            <a:buChar char=""/>
          </a:pPr>
          <a:r>
            <a:rPr lang="en-ZA" sz="1600">
              <a:solidFill>
                <a:srgbClr val="000000"/>
              </a:solidFill>
              <a:effectLst/>
              <a:latin typeface="Times New Roman"/>
              <a:ea typeface="Calibri"/>
              <a:cs typeface="Arial"/>
            </a:rPr>
            <a:t>licensing and citation.</a:t>
          </a:r>
          <a:endParaRPr lang="en-US" sz="1800">
            <a:effectLst/>
            <a:latin typeface="Times New Roman"/>
            <a:ea typeface="Times New Roman"/>
          </a:endParaRPr>
        </a:p>
        <a:p>
          <a:pPr>
            <a:lnSpc>
              <a:spcPct val="115000"/>
            </a:lnSpc>
            <a:spcAft>
              <a:spcPts val="0"/>
            </a:spcAft>
          </a:pPr>
          <a:endParaRPr lang="en-US" sz="1800">
            <a:effectLst/>
            <a:latin typeface="Times New Roman"/>
            <a:ea typeface="Times New Roman"/>
          </a:endParaRPr>
        </a:p>
        <a:p>
          <a:pPr>
            <a:lnSpc>
              <a:spcPct val="115000"/>
            </a:lnSpc>
            <a:spcAft>
              <a:spcPts val="0"/>
            </a:spcAft>
          </a:pPr>
          <a:r>
            <a:rPr lang="en-US" sz="1600" i="1">
              <a:effectLst/>
              <a:latin typeface="Times New Roman"/>
              <a:ea typeface="Times New Roman"/>
            </a:rPr>
            <a:t>Special note on </a:t>
          </a:r>
          <a:r>
            <a:rPr lang="en-ZA" sz="1600" i="1">
              <a:solidFill>
                <a:srgbClr val="000000"/>
              </a:solidFill>
              <a:effectLst/>
              <a:latin typeface="Times New Roman"/>
              <a:ea typeface="Times New Roman"/>
              <a:cs typeface="Arial"/>
            </a:rPr>
            <a:t>c</a:t>
          </a:r>
          <a:r>
            <a:rPr lang="en-ZA" sz="1600" i="1">
              <a:solidFill>
                <a:srgbClr val="000000"/>
              </a:solidFill>
              <a:effectLst/>
              <a:latin typeface="Times New Roman"/>
              <a:ea typeface="Calibri"/>
              <a:cs typeface="Arial"/>
            </a:rPr>
            <a:t>itation</a:t>
          </a:r>
          <a:r>
            <a:rPr lang="en-US" sz="1600" i="1">
              <a:effectLst/>
              <a:latin typeface="Times New Roman"/>
              <a:ea typeface="Times New Roman"/>
            </a:rPr>
            <a:t> required with the use of the </a:t>
          </a:r>
          <a:r>
            <a:rPr lang="en-US" sz="1600" b="1">
              <a:effectLst/>
              <a:latin typeface="Times New Roman"/>
              <a:ea typeface="Times New Roman"/>
            </a:rPr>
            <a:t>Test_Performance_Calculator</a:t>
          </a:r>
          <a:endParaRPr lang="en-US" sz="16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This is the only component of the ABIE toolkit which, in addition to the core reference (</a:t>
          </a:r>
          <a:r>
            <a:rPr lang="en-ZA" sz="1600" i="1">
              <a:solidFill>
                <a:srgbClr val="000000"/>
              </a:solidFill>
              <a:effectLst/>
              <a:latin typeface="Times New Roman"/>
              <a:ea typeface="Calibri"/>
              <a:cs typeface="Arial"/>
            </a:rPr>
            <a:t>Kassanjee et al, Epidemiology, 2012</a:t>
          </a:r>
          <a:r>
            <a:rPr lang="en-ZA" sz="1600">
              <a:solidFill>
                <a:srgbClr val="000000"/>
              </a:solidFill>
              <a:effectLst/>
              <a:latin typeface="Times New Roman"/>
              <a:ea typeface="Calibri"/>
              <a:cs typeface="Arial"/>
            </a:rPr>
            <a:t>), also requires a reference to </a:t>
          </a:r>
          <a:r>
            <a:rPr lang="en-ZA" sz="1600" i="1">
              <a:solidFill>
                <a:srgbClr val="000000"/>
              </a:solidFill>
              <a:effectLst/>
              <a:latin typeface="Times New Roman"/>
              <a:ea typeface="Calibri"/>
              <a:cs typeface="Arial"/>
            </a:rPr>
            <a:t>Kassanjee et al, AIDS Research and Human Retroviruses, 2014</a:t>
          </a:r>
          <a:r>
            <a:rPr lang="en-ZA" sz="1600">
              <a:solidFill>
                <a:srgbClr val="000000"/>
              </a:solidFill>
              <a:effectLst/>
              <a:latin typeface="Times New Roman"/>
              <a:ea typeface="Calibri"/>
              <a:cs typeface="Arial"/>
            </a:rPr>
            <a:t>. See the overall version 3 release note in</a:t>
          </a:r>
          <a:r>
            <a:rPr lang="en-ZA" sz="1600">
              <a:effectLst/>
              <a:latin typeface="Times New Roman"/>
              <a:ea typeface="Times New Roman"/>
            </a:rPr>
            <a:t> </a:t>
          </a:r>
          <a:r>
            <a:rPr lang="en-ZA" sz="1600">
              <a:solidFill>
                <a:srgbClr val="000000"/>
              </a:solidFill>
              <a:effectLst/>
              <a:latin typeface="Times New Roman"/>
              <a:ea typeface="Calibri"/>
              <a:cs typeface="Arial"/>
            </a:rPr>
            <a:t>&lt;</a:t>
          </a:r>
          <a:r>
            <a:rPr lang="en-ZA" sz="1600" i="1">
              <a:solidFill>
                <a:srgbClr val="000000"/>
              </a:solidFill>
              <a:effectLst/>
              <a:latin typeface="Times New Roman"/>
              <a:ea typeface="Calibri"/>
              <a:cs typeface="Arial"/>
            </a:rPr>
            <a:t>About ABIE v3</a:t>
          </a:r>
          <a:r>
            <a:rPr lang="en-ZA" sz="1600">
              <a:solidFill>
                <a:srgbClr val="000000"/>
              </a:solidFill>
              <a:effectLst/>
              <a:latin typeface="Times New Roman"/>
              <a:ea typeface="Calibri"/>
              <a:cs typeface="Arial"/>
            </a:rPr>
            <a:t>&gt;.</a:t>
          </a:r>
          <a:endParaRPr lang="en-US" sz="1600">
            <a:effectLst/>
            <a:latin typeface="Times New Roman"/>
            <a:ea typeface="Times New Roman"/>
          </a:endParaRPr>
        </a:p>
        <a:p>
          <a:pPr>
            <a:lnSpc>
              <a:spcPct val="115000"/>
            </a:lnSpc>
            <a:spcAft>
              <a:spcPts val="0"/>
            </a:spcAft>
          </a:pPr>
          <a:r>
            <a:rPr lang="en-US" sz="2400">
              <a:effectLst/>
              <a:latin typeface="Times New Roman"/>
              <a:ea typeface="Times New Roman"/>
            </a:rPr>
            <a:t> </a:t>
          </a:r>
          <a:endParaRPr lang="en-US" sz="1800">
            <a:effectLst/>
            <a:latin typeface="Times New Roman"/>
            <a:ea typeface="Times New Roman"/>
          </a:endParaRPr>
        </a:p>
        <a:p>
          <a:pPr>
            <a:lnSpc>
              <a:spcPct val="115000"/>
            </a:lnSpc>
            <a:spcAft>
              <a:spcPts val="0"/>
            </a:spcAft>
          </a:pPr>
          <a:r>
            <a:rPr lang="en-ZA" sz="2400" b="1">
              <a:solidFill>
                <a:srgbClr val="000000"/>
              </a:solidFill>
              <a:effectLst/>
              <a:latin typeface="Times New Roman"/>
              <a:ea typeface="Calibri"/>
              <a:cs typeface="Arial"/>
            </a:rPr>
            <a:t>Summary</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The </a:t>
          </a:r>
          <a:r>
            <a:rPr lang="en-ZA" sz="1600" b="1">
              <a:solidFill>
                <a:srgbClr val="000000"/>
              </a:solidFill>
              <a:effectLst/>
              <a:latin typeface="Times New Roman"/>
              <a:ea typeface="Calibri"/>
              <a:cs typeface="Arial"/>
            </a:rPr>
            <a:t>Test</a:t>
          </a:r>
          <a:r>
            <a:rPr lang="en-ZA" sz="1600" b="1" baseline="0">
              <a:solidFill>
                <a:srgbClr val="000000"/>
              </a:solidFill>
              <a:effectLst/>
              <a:latin typeface="Times New Roman"/>
              <a:ea typeface="Calibri"/>
              <a:cs typeface="Arial"/>
            </a:rPr>
            <a:t> </a:t>
          </a:r>
          <a:r>
            <a:rPr lang="en-ZA" sz="1600" b="1">
              <a:solidFill>
                <a:srgbClr val="000000"/>
              </a:solidFill>
              <a:effectLst/>
              <a:latin typeface="Times New Roman"/>
              <a:ea typeface="Calibri"/>
              <a:cs typeface="Arial"/>
            </a:rPr>
            <a:t>Performance</a:t>
          </a:r>
          <a:r>
            <a:rPr lang="en-ZA" sz="1600" b="1" baseline="0">
              <a:solidFill>
                <a:srgbClr val="000000"/>
              </a:solidFill>
              <a:effectLst/>
              <a:latin typeface="Times New Roman"/>
              <a:ea typeface="Calibri"/>
              <a:cs typeface="Arial"/>
            </a:rPr>
            <a:t> </a:t>
          </a:r>
          <a:r>
            <a:rPr lang="en-ZA" sz="1600" b="1">
              <a:solidFill>
                <a:srgbClr val="000000"/>
              </a:solidFill>
              <a:effectLst/>
              <a:latin typeface="Times New Roman"/>
              <a:ea typeface="Calibri"/>
              <a:cs typeface="Arial"/>
            </a:rPr>
            <a:t>Calculator </a:t>
          </a:r>
          <a:r>
            <a:rPr lang="en-ZA" sz="1600">
              <a:solidFill>
                <a:srgbClr val="000000"/>
              </a:solidFill>
              <a:effectLst/>
              <a:latin typeface="Times New Roman"/>
              <a:ea typeface="Calibri"/>
              <a:cs typeface="Arial"/>
            </a:rPr>
            <a:t>calculates the precision (reported as a relative standard error and an indicative confidence interval) of an HIV incidence estimate that can be obtained from a test for recent infection, under a hypothetical context defined by</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recency test characteristics</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epidemiological context (prevalence and incidence)</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sample size of the cross-sectional study which tests for HIV and follows up by testing for biomarkers of recent infection amongst HIV positives</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expected recency test coverage (proportion of HIV positives for which a recency test result is available)</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expected “design effects” for the precision of cluster based sampling estimates of </a:t>
          </a:r>
          <a:r>
            <a:rPr lang="en-ZA" sz="1600" i="1">
              <a:solidFill>
                <a:srgbClr val="000000"/>
              </a:solidFill>
              <a:effectLst/>
              <a:latin typeface="Times New Roman"/>
              <a:ea typeface="Calibri"/>
              <a:cs typeface="Arial"/>
            </a:rPr>
            <a:t>a</a:t>
          </a:r>
          <a:r>
            <a:rPr lang="en-ZA" sz="1600">
              <a:solidFill>
                <a:srgbClr val="000000"/>
              </a:solidFill>
              <a:effectLst/>
              <a:latin typeface="Times New Roman"/>
              <a:ea typeface="Calibri"/>
              <a:cs typeface="Arial"/>
            </a:rPr>
            <a:t>) HIV prevalence, and </a:t>
          </a:r>
          <a:r>
            <a:rPr lang="en-ZA" sz="1600" i="1">
              <a:solidFill>
                <a:srgbClr val="000000"/>
              </a:solidFill>
              <a:effectLst/>
              <a:latin typeface="Times New Roman"/>
              <a:ea typeface="Calibri"/>
              <a:cs typeface="Arial"/>
            </a:rPr>
            <a:t>b</a:t>
          </a:r>
          <a:r>
            <a:rPr lang="en-ZA" sz="1600">
              <a:solidFill>
                <a:srgbClr val="000000"/>
              </a:solidFill>
              <a:effectLst/>
              <a:latin typeface="Times New Roman"/>
              <a:ea typeface="Calibri"/>
              <a:cs typeface="Arial"/>
            </a:rPr>
            <a:t>) the proportion of “recent” infections among HIV positives tested for recency</a:t>
          </a:r>
          <a:endParaRPr lang="en-US" sz="1800">
            <a:effectLst/>
            <a:latin typeface="Times New Roman"/>
            <a:ea typeface="Times New Roman"/>
          </a:endParaRPr>
        </a:p>
        <a:p>
          <a:pPr marL="457200">
            <a:lnSpc>
              <a:spcPct val="115000"/>
            </a:lnSpc>
            <a:spcAft>
              <a:spcPts val="0"/>
            </a:spcAft>
          </a:pPr>
          <a:r>
            <a:rPr lang="en-US" sz="2400">
              <a:effectLst/>
              <a:latin typeface="Times New Roman"/>
              <a:ea typeface="Times New Roman"/>
            </a:rPr>
            <a:t> </a:t>
          </a:r>
          <a:endParaRPr lang="en-US" sz="1800">
            <a:effectLst/>
            <a:latin typeface="Times New Roman"/>
            <a:ea typeface="Times New Roman"/>
          </a:endParaRPr>
        </a:p>
        <a:p>
          <a:pPr>
            <a:lnSpc>
              <a:spcPct val="115000"/>
            </a:lnSpc>
            <a:spcAft>
              <a:spcPts val="0"/>
            </a:spcAft>
          </a:pPr>
          <a:r>
            <a:rPr lang="en-ZA" sz="2400" b="1">
              <a:solidFill>
                <a:srgbClr val="000000"/>
              </a:solidFill>
              <a:effectLst/>
              <a:latin typeface="Times New Roman"/>
              <a:ea typeface="Calibri"/>
              <a:cs typeface="Arial"/>
            </a:rPr>
            <a:t>Worksheets in this Workbook</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The </a:t>
          </a:r>
          <a:r>
            <a:rPr lang="en-ZA" sz="1600" b="1">
              <a:solidFill>
                <a:srgbClr val="000000"/>
              </a:solidFill>
              <a:effectLst/>
              <a:latin typeface="Times New Roman"/>
              <a:ea typeface="Calibri"/>
              <a:cs typeface="Arial"/>
            </a:rPr>
            <a:t>Test Performance Calculator </a:t>
          </a:r>
          <a:r>
            <a:rPr lang="en-ZA" sz="1600">
              <a:solidFill>
                <a:srgbClr val="000000"/>
              </a:solidFill>
              <a:effectLst/>
              <a:latin typeface="Times New Roman"/>
              <a:ea typeface="Calibri"/>
              <a:cs typeface="Arial"/>
            </a:rPr>
            <a:t>contains four worksheets or tabs:</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i="1">
              <a:solidFill>
                <a:srgbClr val="000000"/>
              </a:solidFill>
              <a:effectLst/>
              <a:latin typeface="Times New Roman"/>
              <a:ea typeface="Calibri"/>
              <a:cs typeface="Arial"/>
            </a:rPr>
            <a:t>&lt;About ABIE v3&gt;</a:t>
          </a:r>
          <a:r>
            <a:rPr lang="en-ZA" sz="1600">
              <a:solidFill>
                <a:srgbClr val="000000"/>
              </a:solidFill>
              <a:effectLst/>
              <a:latin typeface="Times New Roman"/>
              <a:ea typeface="Calibri"/>
              <a:cs typeface="Arial"/>
            </a:rPr>
            <a:t>: introduction to the ABIE toolbox in general and major release three</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i="1">
              <a:solidFill>
                <a:srgbClr val="000000"/>
              </a:solidFill>
              <a:effectLst/>
              <a:latin typeface="Times New Roman"/>
              <a:ea typeface="Calibri"/>
              <a:cs typeface="Arial"/>
            </a:rPr>
            <a:t>&lt;User Guide&gt;</a:t>
          </a:r>
          <a:r>
            <a:rPr lang="en-ZA" sz="1600">
              <a:solidFill>
                <a:srgbClr val="000000"/>
              </a:solidFill>
              <a:effectLst/>
              <a:latin typeface="Times New Roman"/>
              <a:ea typeface="Calibri"/>
              <a:cs typeface="Arial"/>
            </a:rPr>
            <a:t>:</a:t>
          </a:r>
          <a:r>
            <a:rPr lang="en-ZA" sz="1600" i="1">
              <a:solidFill>
                <a:srgbClr val="000000"/>
              </a:solidFill>
              <a:effectLst/>
              <a:latin typeface="Times New Roman"/>
              <a:ea typeface="Calibri"/>
              <a:cs typeface="Arial"/>
            </a:rPr>
            <a:t> </a:t>
          </a:r>
          <a:r>
            <a:rPr lang="en-ZA" sz="1600">
              <a:solidFill>
                <a:srgbClr val="000000"/>
              </a:solidFill>
              <a:effectLst/>
              <a:latin typeface="Times New Roman"/>
              <a:ea typeface="Calibri"/>
              <a:cs typeface="Arial"/>
            </a:rPr>
            <a:t>this document</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i="1">
              <a:solidFill>
                <a:srgbClr val="000000"/>
              </a:solidFill>
              <a:effectLst/>
              <a:latin typeface="Times New Roman"/>
              <a:ea typeface="Calibri"/>
              <a:cs typeface="Arial"/>
            </a:rPr>
            <a:t>&lt;Single Calculation&gt;</a:t>
          </a:r>
          <a:r>
            <a:rPr lang="en-ZA" sz="1600">
              <a:solidFill>
                <a:srgbClr val="000000"/>
              </a:solidFill>
              <a:effectLst/>
              <a:latin typeface="Times New Roman"/>
              <a:ea typeface="Calibri"/>
              <a:cs typeface="Arial"/>
            </a:rPr>
            <a:t>: </a:t>
          </a:r>
          <a:r>
            <a:rPr lang="en-ZA" sz="1600">
              <a:solidFill>
                <a:srgbClr val="000000"/>
              </a:solidFill>
              <a:effectLst/>
              <a:latin typeface="Times New Roman"/>
              <a:ea typeface="Calibri"/>
              <a:cs typeface="+mn-cs"/>
            </a:rPr>
            <a:t>estimates precision given recency test characteristics, epidemiological context, and survey design</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i="1">
              <a:solidFill>
                <a:srgbClr val="000000"/>
              </a:solidFill>
              <a:effectLst/>
              <a:latin typeface="Times New Roman"/>
              <a:ea typeface="Calibri"/>
              <a:cs typeface="Arial"/>
            </a:rPr>
            <a:t>&lt;Design Comparison&gt;</a:t>
          </a:r>
          <a:r>
            <a:rPr lang="en-ZA" sz="1600">
              <a:solidFill>
                <a:srgbClr val="000000"/>
              </a:solidFill>
              <a:effectLst/>
              <a:latin typeface="Times New Roman"/>
              <a:ea typeface="Calibri"/>
              <a:cs typeface="Arial"/>
            </a:rPr>
            <a:t>: multiple (up to 50) sets of inputs, varying test properties, with graphical summary</a:t>
          </a:r>
          <a:endParaRPr lang="en-US" sz="1800">
            <a:effectLst/>
            <a:latin typeface="Times New Roman"/>
            <a:ea typeface="Times New Roman"/>
          </a:endParaRPr>
        </a:p>
        <a:p>
          <a:pPr>
            <a:lnSpc>
              <a:spcPct val="115000"/>
            </a:lnSpc>
            <a:spcAft>
              <a:spcPts val="0"/>
            </a:spcAft>
          </a:pPr>
          <a:endParaRPr lang="en-ZA" sz="1600">
            <a:solidFill>
              <a:srgbClr val="000000"/>
            </a:solidFill>
            <a:effectLst/>
            <a:latin typeface="Times New Roman"/>
            <a:ea typeface="Calibri"/>
            <a:cs typeface="Arial"/>
          </a:endParaRPr>
        </a:p>
        <a:p>
          <a:pPr>
            <a:lnSpc>
              <a:spcPct val="115000"/>
            </a:lnSpc>
            <a:spcAft>
              <a:spcPts val="0"/>
            </a:spcAft>
          </a:pPr>
          <a:r>
            <a:rPr lang="en-ZA" sz="1600">
              <a:solidFill>
                <a:srgbClr val="000000"/>
              </a:solidFill>
              <a:effectLst/>
              <a:latin typeface="Times New Roman"/>
              <a:ea typeface="Calibri"/>
              <a:cs typeface="Arial"/>
            </a:rPr>
            <a:t>Each sheet is described in more detail below.</a:t>
          </a:r>
          <a:endParaRPr lang="en-US" sz="1800">
            <a:effectLst/>
            <a:latin typeface="Times New Roman"/>
            <a:ea typeface="Times New Roman"/>
          </a:endParaRPr>
        </a:p>
        <a:p>
          <a:pPr>
            <a:lnSpc>
              <a:spcPct val="115000"/>
            </a:lnSpc>
            <a:spcAft>
              <a:spcPts val="0"/>
            </a:spcAft>
          </a:pPr>
          <a:r>
            <a:rPr lang="en-US" sz="2400">
              <a:effectLst/>
              <a:latin typeface="Times New Roman"/>
              <a:ea typeface="Times New Roman"/>
            </a:rPr>
            <a:t> </a:t>
          </a:r>
          <a:endParaRPr lang="en-US" sz="1800">
            <a:effectLst/>
            <a:latin typeface="Times New Roman"/>
            <a:ea typeface="Times New Roman"/>
          </a:endParaRPr>
        </a:p>
        <a:p>
          <a:pPr>
            <a:lnSpc>
              <a:spcPct val="115000"/>
            </a:lnSpc>
            <a:spcAft>
              <a:spcPts val="0"/>
            </a:spcAft>
          </a:pPr>
          <a:r>
            <a:rPr lang="en-ZA" sz="2400" b="1">
              <a:solidFill>
                <a:srgbClr val="000000"/>
              </a:solidFill>
              <a:effectLst/>
              <a:latin typeface="Times New Roman"/>
              <a:ea typeface="Calibri"/>
            </a:rPr>
            <a:t>&lt;</a:t>
          </a:r>
          <a:r>
            <a:rPr lang="en-ZA" sz="2400" b="1" i="1">
              <a:solidFill>
                <a:srgbClr val="000000"/>
              </a:solidFill>
              <a:effectLst/>
              <a:latin typeface="Times New Roman"/>
              <a:ea typeface="Calibri"/>
            </a:rPr>
            <a:t>Single Calculation</a:t>
          </a:r>
          <a:r>
            <a:rPr lang="en-ZA" sz="2400" b="1">
              <a:solidFill>
                <a:srgbClr val="000000"/>
              </a:solidFill>
              <a:effectLst/>
              <a:latin typeface="Times New Roman"/>
              <a:ea typeface="Calibri"/>
            </a:rPr>
            <a:t>&gt;</a:t>
          </a:r>
          <a:endParaRPr lang="en-US" sz="1800">
            <a:effectLst/>
            <a:latin typeface="Times New Roman"/>
            <a:ea typeface="Times New Roman"/>
          </a:endParaRPr>
        </a:p>
        <a:p>
          <a:pPr>
            <a:lnSpc>
              <a:spcPct val="115000"/>
            </a:lnSpc>
            <a:spcAft>
              <a:spcPts val="0"/>
            </a:spcAft>
          </a:pPr>
          <a:r>
            <a:rPr lang="en-ZA" sz="1600" i="1">
              <a:solidFill>
                <a:srgbClr val="000000"/>
              </a:solidFill>
              <a:effectLst/>
              <a:latin typeface="Times New Roman"/>
              <a:ea typeface="Calibri"/>
              <a:cs typeface="Arial"/>
            </a:rPr>
            <a:t>Context</a:t>
          </a:r>
          <a:r>
            <a:rPr lang="en-ZA" sz="1600">
              <a:solidFill>
                <a:srgbClr val="000000"/>
              </a:solidFill>
              <a:effectLst/>
              <a:latin typeface="Times New Roman"/>
              <a:ea typeface="Calibri"/>
              <a:cs typeface="Arial"/>
            </a:rPr>
            <a:t>:</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A cross-sectional survey is planned, but the choice of recent infection test is not finalised (either one of several candidate assays is to be chosen, or a threshold is to be chosen for a given assay).  Estimates, or hypothetical values, of test properties (MDRI and FRR) are available.  Expected prevalence and incidence values are available in the usual sense of planning-level estimates for powering studies, choosing sample sizes, etc.</a:t>
          </a:r>
          <a:endParaRPr lang="en-US" sz="1800">
            <a:effectLst/>
            <a:latin typeface="Times New Roman"/>
            <a:ea typeface="Times New Roman"/>
          </a:endParaRPr>
        </a:p>
        <a:p>
          <a:pPr>
            <a:lnSpc>
              <a:spcPct val="115000"/>
            </a:lnSpc>
            <a:spcAft>
              <a:spcPts val="0"/>
            </a:spcAft>
          </a:pPr>
          <a:r>
            <a:rPr lang="en-ZA" sz="1600">
              <a:solidFill>
                <a:srgbClr val="1F497D"/>
              </a:solidFill>
              <a:effectLst/>
              <a:latin typeface="Times New Roman"/>
              <a:ea typeface="Calibri"/>
              <a:cs typeface="Arial"/>
            </a:rPr>
            <a:t> </a:t>
          </a:r>
          <a:endParaRPr lang="en-US" sz="1800">
            <a:effectLst/>
            <a:latin typeface="Times New Roman"/>
            <a:ea typeface="Times New Roman"/>
          </a:endParaRPr>
        </a:p>
        <a:p>
          <a:pPr>
            <a:lnSpc>
              <a:spcPct val="115000"/>
            </a:lnSpc>
            <a:spcAft>
              <a:spcPts val="0"/>
            </a:spcAft>
          </a:pPr>
          <a:r>
            <a:rPr lang="en-ZA" sz="1600" i="1">
              <a:solidFill>
                <a:srgbClr val="000000"/>
              </a:solidFill>
              <a:effectLst/>
              <a:latin typeface="Times New Roman"/>
              <a:ea typeface="Calibri"/>
            </a:rPr>
            <a:t>Utility</a:t>
          </a:r>
          <a:r>
            <a:rPr lang="en-ZA" sz="1600">
              <a:solidFill>
                <a:srgbClr val="000000"/>
              </a:solidFill>
              <a:effectLst/>
              <a:latin typeface="Times New Roman"/>
              <a:ea typeface="Calibri"/>
            </a:rPr>
            <a:t>:</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rPr>
            <a:t>This sheet calculates the expected relative standard error of the incidence estimate that would result from an incidence survey conducted in the epidemiological context, using a recency test and a survey design described by the inputs provided.  An indicative 95% confidence interval for incidence (the expected confidence interval), and expected sample counts, are also given. </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 </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Note:</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Incidence is entered, and reported, as an “instantaneous rate”, with units of % per annum (p.a.).</a:t>
          </a:r>
          <a:endParaRPr lang="en-US" sz="1800">
            <a:effectLst/>
            <a:latin typeface="Times New Roman"/>
            <a:ea typeface="Times New Roman"/>
          </a:endParaRPr>
        </a:p>
        <a:p>
          <a:pPr marL="457200">
            <a:lnSpc>
              <a:spcPct val="115000"/>
            </a:lnSpc>
            <a:spcAft>
              <a:spcPts val="0"/>
            </a:spcAft>
          </a:pPr>
          <a:r>
            <a:rPr lang="en-US" sz="2400">
              <a:effectLst/>
              <a:latin typeface="Times New Roman"/>
              <a:ea typeface="Times New Roman"/>
            </a:rPr>
            <a:t> </a:t>
          </a:r>
          <a:endParaRPr lang="en-US" sz="1800">
            <a:effectLst/>
            <a:latin typeface="Times New Roman"/>
            <a:ea typeface="Times New Roman"/>
          </a:endParaRPr>
        </a:p>
        <a:p>
          <a:pPr>
            <a:lnSpc>
              <a:spcPct val="115000"/>
            </a:lnSpc>
            <a:spcAft>
              <a:spcPts val="0"/>
            </a:spcAft>
          </a:pPr>
          <a:r>
            <a:rPr lang="en-ZA" sz="2400" b="1">
              <a:solidFill>
                <a:srgbClr val="000000"/>
              </a:solidFill>
              <a:effectLst/>
              <a:latin typeface="Times New Roman"/>
              <a:ea typeface="Calibri"/>
            </a:rPr>
            <a:t>&lt;</a:t>
          </a:r>
          <a:r>
            <a:rPr lang="en-ZA" sz="2400" b="1" i="1">
              <a:solidFill>
                <a:srgbClr val="000000"/>
              </a:solidFill>
              <a:effectLst/>
              <a:latin typeface="Times New Roman"/>
              <a:ea typeface="Calibri"/>
            </a:rPr>
            <a:t>Design Comparison</a:t>
          </a:r>
          <a:r>
            <a:rPr lang="en-ZA" sz="2400" b="1">
              <a:solidFill>
                <a:srgbClr val="000000"/>
              </a:solidFill>
              <a:effectLst/>
              <a:latin typeface="Times New Roman"/>
              <a:ea typeface="Calibri"/>
            </a:rPr>
            <a:t>&gt;</a:t>
          </a:r>
          <a:endParaRPr lang="en-US" sz="1800">
            <a:effectLst/>
            <a:latin typeface="Times New Roman"/>
            <a:ea typeface="Times New Roman"/>
          </a:endParaRPr>
        </a:p>
        <a:p>
          <a:pPr>
            <a:lnSpc>
              <a:spcPct val="115000"/>
            </a:lnSpc>
            <a:spcAft>
              <a:spcPts val="0"/>
            </a:spcAft>
          </a:pPr>
          <a:r>
            <a:rPr lang="en-ZA" sz="1600" i="1">
              <a:solidFill>
                <a:srgbClr val="000000"/>
              </a:solidFill>
              <a:effectLst/>
              <a:latin typeface="Times New Roman"/>
              <a:ea typeface="Calibri"/>
              <a:cs typeface="Arial"/>
            </a:rPr>
            <a:t>Context</a:t>
          </a:r>
          <a:r>
            <a:rPr lang="en-ZA" sz="1600">
              <a:solidFill>
                <a:srgbClr val="000000"/>
              </a:solidFill>
              <a:effectLst/>
              <a:latin typeface="Times New Roman"/>
              <a:ea typeface="Calibri"/>
              <a:cs typeface="Arial"/>
            </a:rPr>
            <a:t>:</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As for the &lt;</a:t>
          </a:r>
          <a:r>
            <a:rPr lang="en-ZA" sz="1600" i="1">
              <a:solidFill>
                <a:srgbClr val="000000"/>
              </a:solidFill>
              <a:effectLst/>
              <a:latin typeface="Times New Roman"/>
              <a:ea typeface="Calibri"/>
              <a:cs typeface="Arial"/>
            </a:rPr>
            <a:t>Single Calculation</a:t>
          </a:r>
          <a:r>
            <a:rPr lang="en-ZA" sz="1600">
              <a:solidFill>
                <a:srgbClr val="000000"/>
              </a:solidFill>
              <a:effectLst/>
              <a:latin typeface="Times New Roman"/>
              <a:ea typeface="Calibri"/>
              <a:cs typeface="Arial"/>
            </a:rPr>
            <a:t>&gt; sheet, but geared for exploring multiple recency test options at a glance. </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 </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A particular anticipated application is the situation in which a biomarker has been chosen, but the final recent/non-recent discrimination threshold has not yet been finalised.</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 </a:t>
          </a:r>
          <a:endParaRPr lang="en-US" sz="1800">
            <a:effectLst/>
            <a:latin typeface="Times New Roman"/>
            <a:ea typeface="Times New Roman"/>
          </a:endParaRPr>
        </a:p>
        <a:p>
          <a:pPr>
            <a:lnSpc>
              <a:spcPct val="115000"/>
            </a:lnSpc>
            <a:spcAft>
              <a:spcPts val="0"/>
            </a:spcAft>
          </a:pPr>
          <a:r>
            <a:rPr lang="en-ZA" sz="1600" i="1">
              <a:solidFill>
                <a:srgbClr val="000000"/>
              </a:solidFill>
              <a:effectLst/>
              <a:latin typeface="Times New Roman"/>
              <a:ea typeface="Calibri"/>
              <a:cs typeface="Arial"/>
            </a:rPr>
            <a:t>Utility</a:t>
          </a:r>
          <a:r>
            <a:rPr lang="en-ZA" sz="1600">
              <a:solidFill>
                <a:srgbClr val="000000"/>
              </a:solidFill>
              <a:effectLst/>
              <a:latin typeface="Times New Roman"/>
              <a:ea typeface="Calibri"/>
              <a:cs typeface="Arial"/>
            </a:rPr>
            <a:t>:</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This sheet generates numerical and graphical comparisons of a variety of test designs, which are specified in separate columns. </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Note:</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The epidemiological/survey context is specified once for the entire sheet, which means specifying once only the following parameters:</a:t>
          </a:r>
          <a:endParaRPr lang="en-US" sz="1800">
            <a:effectLst/>
            <a:latin typeface="Times New Roman"/>
            <a:ea typeface="Times New Roman"/>
          </a:endParaRPr>
        </a:p>
        <a:p>
          <a:pPr marL="228600" indent="457200">
            <a:lnSpc>
              <a:spcPct val="115000"/>
            </a:lnSpc>
            <a:spcAft>
              <a:spcPts val="0"/>
            </a:spcAft>
          </a:pPr>
          <a:r>
            <a:rPr lang="en-ZA" sz="1600">
              <a:solidFill>
                <a:srgbClr val="000000"/>
              </a:solidFill>
              <a:effectLst/>
              <a:latin typeface="Times New Roman"/>
              <a:ea typeface="Calibri"/>
              <a:cs typeface="Arial"/>
            </a:rPr>
            <a:t>- incidence</a:t>
          </a:r>
          <a:endParaRPr lang="en-US" sz="1800">
            <a:effectLst/>
            <a:latin typeface="Times New Roman"/>
            <a:ea typeface="Times New Roman"/>
          </a:endParaRPr>
        </a:p>
        <a:p>
          <a:pPr marL="228600" indent="457200">
            <a:lnSpc>
              <a:spcPct val="115000"/>
            </a:lnSpc>
            <a:spcAft>
              <a:spcPts val="0"/>
            </a:spcAft>
          </a:pPr>
          <a:r>
            <a:rPr lang="en-ZA" sz="1600">
              <a:solidFill>
                <a:srgbClr val="000000"/>
              </a:solidFill>
              <a:effectLst/>
              <a:latin typeface="Times New Roman"/>
              <a:ea typeface="Calibri"/>
              <a:cs typeface="Arial"/>
            </a:rPr>
            <a:t>- prevalence</a:t>
          </a:r>
          <a:endParaRPr lang="en-US" sz="1800">
            <a:effectLst/>
            <a:latin typeface="Times New Roman"/>
            <a:ea typeface="Times New Roman"/>
          </a:endParaRPr>
        </a:p>
        <a:p>
          <a:pPr marL="228600" indent="457200">
            <a:lnSpc>
              <a:spcPct val="115000"/>
            </a:lnSpc>
            <a:spcAft>
              <a:spcPts val="0"/>
            </a:spcAft>
          </a:pPr>
          <a:r>
            <a:rPr lang="en-ZA" sz="1600">
              <a:solidFill>
                <a:srgbClr val="000000"/>
              </a:solidFill>
              <a:effectLst/>
              <a:latin typeface="Times New Roman"/>
              <a:ea typeface="Calibri"/>
              <a:cs typeface="Arial"/>
            </a:rPr>
            <a:t>- design effect for prevalence</a:t>
          </a:r>
          <a:endParaRPr lang="en-US" sz="1800">
            <a:effectLst/>
            <a:latin typeface="Times New Roman"/>
            <a:ea typeface="Times New Roman"/>
          </a:endParaRPr>
        </a:p>
        <a:p>
          <a:pPr marL="228600" indent="457200">
            <a:lnSpc>
              <a:spcPct val="115000"/>
            </a:lnSpc>
            <a:spcAft>
              <a:spcPts val="0"/>
            </a:spcAft>
          </a:pPr>
          <a:r>
            <a:rPr lang="en-ZA" sz="1600">
              <a:solidFill>
                <a:srgbClr val="000000"/>
              </a:solidFill>
              <a:effectLst/>
              <a:latin typeface="Times New Roman"/>
              <a:ea typeface="Calibri"/>
              <a:cs typeface="Arial"/>
            </a:rPr>
            <a:t>- design effect for recency</a:t>
          </a:r>
          <a:endParaRPr lang="en-US" sz="1800">
            <a:effectLst/>
            <a:latin typeface="Times New Roman"/>
            <a:ea typeface="Times New Roman"/>
          </a:endParaRPr>
        </a:p>
        <a:p>
          <a:pPr marL="228600" indent="457200">
            <a:lnSpc>
              <a:spcPct val="115000"/>
            </a:lnSpc>
            <a:spcAft>
              <a:spcPts val="0"/>
            </a:spcAft>
          </a:pPr>
          <a:r>
            <a:rPr lang="en-ZA" sz="1600">
              <a:solidFill>
                <a:srgbClr val="000000"/>
              </a:solidFill>
              <a:effectLst/>
              <a:latin typeface="Times New Roman"/>
              <a:ea typeface="Calibri"/>
              <a:cs typeface="Arial"/>
            </a:rPr>
            <a:t>- sample size</a:t>
          </a:r>
          <a:endParaRPr lang="en-US" sz="1800">
            <a:effectLst/>
            <a:latin typeface="Times New Roman"/>
            <a:ea typeface="Times New Roman"/>
          </a:endParaRPr>
        </a:p>
        <a:p>
          <a:pPr marL="228600" indent="457200">
            <a:lnSpc>
              <a:spcPct val="115000"/>
            </a:lnSpc>
            <a:spcAft>
              <a:spcPts val="0"/>
            </a:spcAft>
          </a:pPr>
          <a:r>
            <a:rPr lang="en-ZA" sz="1600">
              <a:solidFill>
                <a:srgbClr val="000000"/>
              </a:solidFill>
              <a:effectLst/>
              <a:latin typeface="Times New Roman"/>
              <a:ea typeface="Calibri"/>
              <a:cs typeface="Arial"/>
            </a:rPr>
            <a:t>- coverage of recency test</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Multiple columns allow for specification of different MDRI and FRR values, with, if appropriate, independently specified values of recency time cut-off T.</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It is recommended that the user at some point enter each input set into the </a:t>
          </a:r>
          <a:r>
            <a:rPr lang="en-ZA" sz="1600" i="1">
              <a:solidFill>
                <a:srgbClr val="000000"/>
              </a:solidFill>
              <a:effectLst/>
              <a:latin typeface="Times New Roman"/>
              <a:ea typeface="Calibri"/>
              <a:cs typeface="Arial"/>
            </a:rPr>
            <a:t>&lt;Single Calculation&gt;</a:t>
          </a:r>
          <a:r>
            <a:rPr lang="en-ZA" sz="1600">
              <a:solidFill>
                <a:srgbClr val="000000"/>
              </a:solidFill>
              <a:effectLst/>
              <a:latin typeface="Times New Roman"/>
              <a:ea typeface="Calibri"/>
              <a:cs typeface="Arial"/>
            </a:rPr>
            <a:t> sheet in order to view possible relevant warnings and error messages.</a:t>
          </a:r>
          <a:endParaRPr lang="en-US" sz="1800">
            <a:effectLst/>
            <a:latin typeface="Times New Roman"/>
            <a:ea typeface="Times New Roman"/>
          </a:endParaRPr>
        </a:p>
        <a:p>
          <a:pPr marL="342900" lvl="0" indent="-342900">
            <a:lnSpc>
              <a:spcPct val="115000"/>
            </a:lnSpc>
            <a:spcAft>
              <a:spcPts val="0"/>
            </a:spcAft>
            <a:buFont typeface="Symbol"/>
            <a:buChar char=""/>
            <a:tabLst>
              <a:tab pos="457200" algn="l"/>
            </a:tabLst>
          </a:pPr>
          <a:r>
            <a:rPr lang="en-ZA" sz="1600">
              <a:solidFill>
                <a:srgbClr val="000000"/>
              </a:solidFill>
              <a:effectLst/>
              <a:latin typeface="Times New Roman"/>
              <a:ea typeface="Calibri"/>
              <a:cs typeface="Arial"/>
            </a:rPr>
            <a:t>A row is provided for labelling the scenarios of each column (the design label). The most natural use of this row is probably for labelling each set of test properties by the recent/non-recent discrimination threshold which produces those properties.</a:t>
          </a:r>
          <a:endParaRPr lang="en-US" sz="1800">
            <a:effectLst/>
            <a:latin typeface="Times New Roman"/>
            <a:ea typeface="Times New Roman"/>
          </a:endParaRPr>
        </a:p>
        <a:p>
          <a:pPr marL="457200">
            <a:lnSpc>
              <a:spcPct val="115000"/>
            </a:lnSpc>
            <a:spcAft>
              <a:spcPts val="0"/>
            </a:spcAft>
          </a:pPr>
          <a:r>
            <a:rPr lang="en-US" sz="1600">
              <a:effectLst/>
              <a:latin typeface="Times New Roman"/>
              <a:ea typeface="Times New Roman"/>
            </a:rPr>
            <a:t> </a:t>
          </a:r>
          <a:endParaRPr lang="en-US" sz="1800">
            <a:effectLst/>
            <a:latin typeface="Times New Roman"/>
            <a:ea typeface="Times New Roman"/>
          </a:endParaRPr>
        </a:p>
        <a:p>
          <a:pPr>
            <a:lnSpc>
              <a:spcPct val="115000"/>
            </a:lnSpc>
            <a:spcAft>
              <a:spcPts val="0"/>
            </a:spcAft>
          </a:pPr>
          <a:r>
            <a:rPr lang="en-ZA" sz="1600" i="1">
              <a:solidFill>
                <a:srgbClr val="000000"/>
              </a:solidFill>
              <a:effectLst/>
              <a:latin typeface="Times New Roman"/>
              <a:ea typeface="Calibri"/>
              <a:cs typeface="Arial"/>
            </a:rPr>
            <a:t>Caveat</a:t>
          </a:r>
          <a:r>
            <a:rPr lang="en-ZA" sz="1600">
              <a:solidFill>
                <a:srgbClr val="000000"/>
              </a:solidFill>
              <a:effectLst/>
              <a:latin typeface="Times New Roman"/>
              <a:ea typeface="Calibri"/>
              <a:cs typeface="Arial"/>
            </a:rPr>
            <a:t>:</a:t>
          </a:r>
          <a:endParaRPr lang="en-US" sz="1800">
            <a:effectLst/>
            <a:latin typeface="Times New Roman"/>
            <a:ea typeface="Times New Roman"/>
          </a:endParaRPr>
        </a:p>
        <a:p>
          <a:pPr>
            <a:lnSpc>
              <a:spcPct val="115000"/>
            </a:lnSpc>
            <a:spcAft>
              <a:spcPts val="0"/>
            </a:spcAft>
          </a:pPr>
          <a:r>
            <a:rPr lang="en-ZA" sz="1600">
              <a:solidFill>
                <a:srgbClr val="000000"/>
              </a:solidFill>
              <a:effectLst/>
              <a:latin typeface="Times New Roman"/>
              <a:ea typeface="Calibri"/>
              <a:cs typeface="Arial"/>
            </a:rPr>
            <a:t>There is an important caveat on the use of the option to specify different values of T.  This option is provided for consistency – for example, if one is enquiring how two different assays might compare, when it happens to be the case that different values of T have been proposed to be used with these assays.  It would be a mistake to use this worksheet in an attempt to choose an “optimal” value of T for a given biomarker.  Optimality of T is explicitly NOT addressed here, even though a superficial look may make it appear that this should be possible.  The choice of T requires detailed knowledge of the available data on which MDRI estimates are based This is a subtle point, but the following brief remarks may help dispel the urge to use this tool: An increase in T, for a given biomarker, will generally, even if only slightly, increase the MDRI and decrease the FRR – making it appear that this improves the precision of incidence estimates.  However, with increasing T, MDRI estimation becomes more difficult, requiring more high precision data from seroconverters at times long post-seroconversion.  Also, with larger values of T, the MDRI becomes inherently exposed to dependence on </a:t>
          </a:r>
          <a:r>
            <a:rPr lang="en-ZA" sz="1600" i="1">
              <a:solidFill>
                <a:srgbClr val="000000"/>
              </a:solidFill>
              <a:effectLst/>
              <a:latin typeface="Times New Roman"/>
              <a:ea typeface="Calibri"/>
              <a:cs typeface="Arial"/>
            </a:rPr>
            <a:t>context</a:t>
          </a:r>
          <a:r>
            <a:rPr lang="en-ZA" sz="1600">
              <a:solidFill>
                <a:srgbClr val="000000"/>
              </a:solidFill>
              <a:effectLst/>
              <a:latin typeface="Times New Roman"/>
              <a:ea typeface="Calibri"/>
              <a:cs typeface="Arial"/>
            </a:rPr>
            <a:t> (and hence also </a:t>
          </a:r>
          <a:r>
            <a:rPr lang="en-ZA" sz="1600" i="1">
              <a:solidFill>
                <a:srgbClr val="000000"/>
              </a:solidFill>
              <a:effectLst/>
              <a:latin typeface="Times New Roman"/>
              <a:ea typeface="Calibri"/>
              <a:cs typeface="Arial"/>
            </a:rPr>
            <a:t>time</a:t>
          </a:r>
          <a:r>
            <a:rPr lang="en-ZA" sz="1600">
              <a:solidFill>
                <a:srgbClr val="000000"/>
              </a:solidFill>
              <a:effectLst/>
              <a:latin typeface="Times New Roman"/>
              <a:ea typeface="Calibri"/>
              <a:cs typeface="Arial"/>
            </a:rPr>
            <a:t>) as the “tail” of recent results at longer times post-infection varies in response to changing epidemiological state and treatment availability.  This then leads to greater complexity in transferring tests from one context to another, and this transferability is a foundation for biomarker based incidence estimation.  (The transferability of MDRI, with some limitations to the transferability on FRR, presents smaller methodological obstacles than having a single test parameter (MDRI) which always requires re-evaluation in each context.  Of course, if/when there is a breakthrough in test performance, and false recent results are truly robustly known to be negligible in frequency, then use of FRR and big T are redundant.)</a:t>
          </a:r>
          <a:endParaRPr lang="en-US" sz="1800">
            <a:effectLst/>
            <a:latin typeface="Times New Roman"/>
            <a:ea typeface="Times New Roman"/>
          </a:endParaRPr>
        </a:p>
        <a:p>
          <a:pPr>
            <a:lnSpc>
              <a:spcPct val="115000"/>
            </a:lnSpc>
            <a:spcAft>
              <a:spcPts val="1000"/>
            </a:spcAft>
          </a:pPr>
          <a:r>
            <a:rPr lang="en-US" sz="1600">
              <a:effectLst/>
              <a:latin typeface="+mn-lt"/>
              <a:ea typeface="SimSun"/>
              <a:cs typeface="Arial"/>
            </a:rPr>
            <a:t> </a:t>
          </a:r>
        </a:p>
        <a:p>
          <a:pPr indent="449580" algn="just">
            <a:lnSpc>
              <a:spcPct val="115000"/>
            </a:lnSpc>
            <a:spcAft>
              <a:spcPts val="0"/>
            </a:spcAft>
          </a:pPr>
          <a:endParaRPr lang="en-US" sz="1600">
            <a:effectLst/>
            <a:latin typeface="Times New Roman"/>
            <a:ea typeface="Calibri"/>
            <a:cs typeface="Arial"/>
          </a:endParaRPr>
        </a:p>
        <a:p>
          <a:pPr>
            <a:lnSpc>
              <a:spcPct val="115000"/>
            </a:lnSpc>
            <a:spcAft>
              <a:spcPts val="0"/>
            </a:spcAft>
          </a:pPr>
          <a:endParaRPr lang="en-ZA" sz="2400" b="1">
            <a:effectLst/>
            <a:latin typeface="Times New Roman"/>
            <a:ea typeface="Calibri"/>
            <a:cs typeface="Arial"/>
          </a:endParaRPr>
        </a:p>
        <a:p>
          <a:endParaRPr lang="en-US" sz="2400">
            <a:latin typeface="Times New Roman" panose="02020603050405020304" pitchFamily="18" charset="0"/>
            <a:cs typeface="Times New Roman" panose="02020603050405020304" pitchFamily="18"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231401</xdr:colOff>
      <xdr:row>27</xdr:row>
      <xdr:rowOff>0</xdr:rowOff>
    </xdr:from>
    <xdr:to>
      <xdr:col>11</xdr:col>
      <xdr:colOff>298074</xdr:colOff>
      <xdr:row>52</xdr:row>
      <xdr:rowOff>0</xdr:rowOff>
    </xdr:to>
    <xdr:graphicFrame macro="">
      <xdr:nvGraphicFramePr>
        <xdr:cNvPr id="1340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26</xdr:row>
      <xdr:rowOff>190500</xdr:rowOff>
    </xdr:from>
    <xdr:to>
      <xdr:col>18</xdr:col>
      <xdr:colOff>561975</xdr:colOff>
      <xdr:row>52</xdr:row>
      <xdr:rowOff>0</xdr:rowOff>
    </xdr:to>
    <xdr:graphicFrame macro="">
      <xdr:nvGraphicFramePr>
        <xdr:cNvPr id="1340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IE_v3_Incidence_Prevalence_Calculat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imon/Desktop/SACEMA/ABIE/ABIE%20spreadsheets%20v3.0/ABIE_IncidencePrevalenceCalculator_v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ABIE v3"/>
      <sheetName val="User Guide"/>
      <sheetName val="Single Calculation"/>
      <sheetName val="Scenario Comparison"/>
      <sheetName val="FRR Sensitivity Analysis"/>
      <sheetName val="Global DE Sensitivity Analysis "/>
      <sheetName val="FRR Sensitivity Analysis Values"/>
      <sheetName val="DE Sensitivity Analysis Values"/>
    </sheetNames>
    <sheetDataSet>
      <sheetData sheetId="0" refreshError="1"/>
      <sheetData sheetId="1" refreshError="1"/>
      <sheetData sheetId="2">
        <row r="7">
          <cell r="E7">
            <v>1.998631074606434</v>
          </cell>
        </row>
        <row r="10">
          <cell r="E10">
            <v>0.54757015742642023</v>
          </cell>
        </row>
        <row r="11">
          <cell r="D11">
            <v>0.05</v>
          </cell>
        </row>
        <row r="12">
          <cell r="D12">
            <v>0.01</v>
          </cell>
        </row>
        <row r="13">
          <cell r="D13">
            <v>0.2</v>
          </cell>
        </row>
        <row r="16">
          <cell r="D16">
            <v>4000</v>
          </cell>
        </row>
        <row r="17">
          <cell r="D17">
            <v>1000</v>
          </cell>
        </row>
        <row r="18">
          <cell r="D18">
            <v>1000</v>
          </cell>
        </row>
        <row r="19">
          <cell r="D19">
            <v>50</v>
          </cell>
        </row>
        <row r="20">
          <cell r="D20">
            <v>5000</v>
          </cell>
        </row>
        <row r="23">
          <cell r="D23">
            <v>1</v>
          </cell>
        </row>
        <row r="24">
          <cell r="D24">
            <v>1</v>
          </cell>
        </row>
        <row r="27">
          <cell r="D27">
            <v>0.2</v>
          </cell>
        </row>
        <row r="31">
          <cell r="D31">
            <v>1.8954333160352884E-2</v>
          </cell>
        </row>
        <row r="33">
          <cell r="D33">
            <v>0.18822925112472108</v>
          </cell>
        </row>
        <row r="47">
          <cell r="N47">
            <v>0.8</v>
          </cell>
        </row>
        <row r="48">
          <cell r="P48" t="b">
            <v>0</v>
          </cell>
        </row>
        <row r="51">
          <cell r="N51">
            <v>0.2</v>
          </cell>
        </row>
        <row r="52">
          <cell r="N52">
            <v>0.05</v>
          </cell>
        </row>
        <row r="57">
          <cell r="N57">
            <v>0.42206707734428472</v>
          </cell>
        </row>
        <row r="61">
          <cell r="N61">
            <v>2.6930013473085747E-3</v>
          </cell>
        </row>
        <row r="62">
          <cell r="N62">
            <v>1.7997496316647409E-3</v>
          </cell>
        </row>
        <row r="63">
          <cell r="N63">
            <v>3.5430250978973316E-2</v>
          </cell>
        </row>
        <row r="66">
          <cell r="N66">
            <v>0.05</v>
          </cell>
        </row>
        <row r="67">
          <cell r="N67">
            <v>1.9599639845400536</v>
          </cell>
        </row>
        <row r="68">
          <cell r="N68">
            <v>0.3</v>
          </cell>
        </row>
        <row r="69">
          <cell r="N69">
            <v>0.01</v>
          </cell>
        </row>
        <row r="70">
          <cell r="N70">
            <v>0.3</v>
          </cell>
        </row>
        <row r="71">
          <cell r="N71">
            <v>0.05</v>
          </cell>
        </row>
        <row r="74">
          <cell r="N74">
            <v>0.1</v>
          </cell>
        </row>
        <row r="76">
          <cell r="N76">
            <v>2</v>
          </cell>
        </row>
        <row r="77">
          <cell r="N77">
            <v>0.24640657084188911</v>
          </cell>
        </row>
        <row r="78">
          <cell r="N78">
            <v>10</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ABIE v3"/>
      <sheetName val="User Guide"/>
      <sheetName val="Single Calculation"/>
      <sheetName val="Scenario Comparison"/>
      <sheetName val="FRR Sensitivity Analysis"/>
      <sheetName val="Global DE Sensitivity Analysis "/>
      <sheetName val="FRR Sensitivity Analysis Values"/>
      <sheetName val="DE Sensitivity Analysis Values"/>
    </sheetNames>
    <sheetDataSet>
      <sheetData sheetId="0"/>
      <sheetData sheetId="1"/>
      <sheetData sheetId="2">
        <row r="7">
          <cell r="E7">
            <v>1.998631074606434</v>
          </cell>
        </row>
        <row r="10">
          <cell r="E10">
            <v>0.53388090349075978</v>
          </cell>
        </row>
        <row r="11">
          <cell r="D11">
            <v>0.1</v>
          </cell>
        </row>
        <row r="12">
          <cell r="D12">
            <v>0.01</v>
          </cell>
        </row>
        <row r="13">
          <cell r="D13">
            <v>0.25</v>
          </cell>
        </row>
        <row r="16">
          <cell r="D16">
            <v>4223</v>
          </cell>
        </row>
        <row r="17">
          <cell r="D17">
            <v>1423</v>
          </cell>
        </row>
        <row r="18">
          <cell r="D18">
            <v>1411</v>
          </cell>
        </row>
        <row r="19">
          <cell r="D19">
            <v>27</v>
          </cell>
        </row>
        <row r="20">
          <cell r="D20">
            <v>5646</v>
          </cell>
        </row>
        <row r="23">
          <cell r="D23">
            <v>1</v>
          </cell>
        </row>
        <row r="24">
          <cell r="D24">
            <v>1</v>
          </cell>
        </row>
        <row r="27">
          <cell r="D27">
            <v>0.25203684024087852</v>
          </cell>
        </row>
        <row r="31">
          <cell r="D31">
            <v>5.9901220903066472E-3</v>
          </cell>
        </row>
        <row r="33">
          <cell r="D33">
            <v>0.49070191119322043</v>
          </cell>
        </row>
        <row r="47">
          <cell r="N47">
            <v>0.74796315975912153</v>
          </cell>
        </row>
        <row r="48">
          <cell r="P48" t="b">
            <v>0</v>
          </cell>
        </row>
        <row r="51">
          <cell r="N51">
            <v>0.25203684024087852</v>
          </cell>
        </row>
        <row r="52">
          <cell r="N52">
            <v>1.9135364989369241E-2</v>
          </cell>
        </row>
        <row r="57">
          <cell r="N57">
            <v>0.38437422337244931</v>
          </cell>
        </row>
        <row r="61">
          <cell r="N61">
            <v>1.0792962732843449E-2</v>
          </cell>
        </row>
        <row r="62">
          <cell r="N62">
            <v>6.9663685459707192E-2</v>
          </cell>
        </row>
        <row r="63">
          <cell r="N63">
            <v>0.24078836564867917</v>
          </cell>
        </row>
        <row r="66">
          <cell r="N66">
            <v>0.05</v>
          </cell>
        </row>
        <row r="67">
          <cell r="N67">
            <v>1.9599639845400536</v>
          </cell>
        </row>
        <row r="68">
          <cell r="N68">
            <v>0.3</v>
          </cell>
        </row>
        <row r="69">
          <cell r="N69">
            <v>0.01</v>
          </cell>
        </row>
        <row r="70">
          <cell r="N70">
            <v>0.3</v>
          </cell>
        </row>
        <row r="71">
          <cell r="N71">
            <v>0.05</v>
          </cell>
        </row>
        <row r="74">
          <cell r="N74">
            <v>0.1</v>
          </cell>
        </row>
        <row r="76">
          <cell r="N76">
            <v>2</v>
          </cell>
        </row>
        <row r="77">
          <cell r="N77">
            <v>0.24640657084188911</v>
          </cell>
        </row>
        <row r="78">
          <cell r="N78">
            <v>10</v>
          </cell>
        </row>
      </sheetData>
      <sheetData sheetId="3"/>
      <sheetData sheetId="4" refreshError="1"/>
      <sheetData sheetId="5" refreshError="1"/>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showGridLines="0" zoomScaleNormal="100" workbookViewId="0">
      <pane ySplit="3" topLeftCell="A4" activePane="bottomLeft" state="frozen"/>
      <selection pane="bottomLeft" activeCell="A4" sqref="A4"/>
    </sheetView>
  </sheetViews>
  <sheetFormatPr baseColWidth="10" defaultRowHeight="12.75" x14ac:dyDescent="0.2"/>
  <cols>
    <col min="1" max="1" width="23.5703125" style="169" customWidth="1"/>
    <col min="2" max="2" width="16.85546875" style="169" customWidth="1"/>
    <col min="3" max="3" width="20.140625" style="169" customWidth="1"/>
    <col min="4" max="4" width="20.85546875" style="169" customWidth="1"/>
    <col min="5" max="5" width="14.5703125" style="169" customWidth="1"/>
    <col min="6" max="6" width="9.7109375" style="169" customWidth="1"/>
    <col min="7" max="7" width="9.85546875" style="169" customWidth="1"/>
    <col min="8" max="8" width="19" style="169" customWidth="1"/>
    <col min="9" max="9" width="15.140625" style="169" customWidth="1"/>
    <col min="10" max="10" width="14" style="169" customWidth="1"/>
    <col min="11" max="16384" width="11.42578125" style="169"/>
  </cols>
  <sheetData>
    <row r="2" spans="2:11" x14ac:dyDescent="0.2">
      <c r="B2" s="177" t="s">
        <v>104</v>
      </c>
      <c r="C2" s="177" t="s">
        <v>103</v>
      </c>
      <c r="D2" s="177" t="s">
        <v>102</v>
      </c>
      <c r="E2" s="177" t="s">
        <v>101</v>
      </c>
      <c r="F2" s="177" t="s">
        <v>100</v>
      </c>
      <c r="G2" s="177" t="s">
        <v>99</v>
      </c>
      <c r="H2" s="177" t="s">
        <v>98</v>
      </c>
      <c r="I2" s="177" t="s">
        <v>97</v>
      </c>
      <c r="J2" s="177" t="s">
        <v>96</v>
      </c>
    </row>
    <row r="3" spans="2:11" ht="12.75" customHeight="1" x14ac:dyDescent="0.2">
      <c r="B3" s="170"/>
      <c r="J3" s="176"/>
      <c r="K3" s="175"/>
    </row>
    <row r="6" spans="2:11" x14ac:dyDescent="0.2">
      <c r="B6" s="170"/>
    </row>
    <row r="7" spans="2:11" x14ac:dyDescent="0.2">
      <c r="B7" s="170"/>
    </row>
    <row r="8" spans="2:11" x14ac:dyDescent="0.2">
      <c r="B8" s="170"/>
    </row>
    <row r="9" spans="2:11" x14ac:dyDescent="0.2">
      <c r="B9" s="170"/>
    </row>
    <row r="10" spans="2:11" x14ac:dyDescent="0.2">
      <c r="B10" s="170"/>
    </row>
    <row r="11" spans="2:11" x14ac:dyDescent="0.2">
      <c r="B11" s="170"/>
    </row>
    <row r="12" spans="2:11" x14ac:dyDescent="0.2">
      <c r="B12" s="170"/>
    </row>
    <row r="13" spans="2:11" x14ac:dyDescent="0.2">
      <c r="B13" s="170"/>
    </row>
    <row r="14" spans="2:11" x14ac:dyDescent="0.2">
      <c r="B14" s="170"/>
    </row>
    <row r="15" spans="2:11" x14ac:dyDescent="0.2">
      <c r="B15" s="170"/>
    </row>
    <row r="16" spans="2:11" x14ac:dyDescent="0.2">
      <c r="B16" s="170"/>
    </row>
    <row r="20" spans="2:2" x14ac:dyDescent="0.2">
      <c r="B20" s="170" t="s">
        <v>92</v>
      </c>
    </row>
  </sheetData>
  <sheetProtection sheet="1" objects="1" scenarios="1"/>
  <hyperlinks>
    <hyperlink ref="B2" location="'About ABIE v3'!A4" tooltip="Jump to top of worksheet" display="Top of Worksheet"/>
    <hyperlink ref="C2" location="'About ABIE v3'!A21" tooltip="Jump to &quot;Introduction to ABIE&quot;" display="Introduction to ABIE"/>
    <hyperlink ref="D2" location="'About ABIE v3'!A63" tooltip="Jump to &quot;Overview of ABIE v3&quot;" display="Overview of ABIE v3"/>
    <hyperlink ref="E2" location="'About ABIE v3'!A137" tooltip="Jump to &quot;New Features&quot;" display="New Features"/>
    <hyperlink ref="F2" location="'About ABIE v3'!A224" tooltip="Jump to &quot;License&quot;" display="License"/>
    <hyperlink ref="G2" location="'About ABIE v3'!A236" tooltip="Jump to &quot;Citation&quot;" display="Citation"/>
    <hyperlink ref="H2" location="'About ABIE v3'!A257" tooltip="Jump to &quot;Acknowledgements&quot;" display="Acknowledgements"/>
    <hyperlink ref="I2" location="'About ABIE v3'!A278" tooltip="Jump to &quot;Further Reading&quot;" display="Further Reading"/>
    <hyperlink ref="J2" location="'About ABIE v3'!A482" tooltip="Jump to &quot;Glossary&quot;" display="Gloss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showGridLines="0" tabSelected="1" zoomScaleNormal="100" workbookViewId="0">
      <pane ySplit="3" topLeftCell="A4" activePane="bottomLeft" state="frozen"/>
      <selection pane="bottomLeft" activeCell="A4" sqref="A4"/>
    </sheetView>
  </sheetViews>
  <sheetFormatPr baseColWidth="10" defaultRowHeight="12.75" x14ac:dyDescent="0.2"/>
  <cols>
    <col min="1" max="1" width="23.5703125" style="169" customWidth="1"/>
    <col min="2" max="2" width="18" style="169" customWidth="1"/>
    <col min="3" max="3" width="10.7109375" style="169" customWidth="1"/>
    <col min="4" max="4" width="27.42578125" style="169" customWidth="1"/>
    <col min="5" max="5" width="17.7109375" style="169" customWidth="1"/>
    <col min="6" max="6" width="20.85546875" style="169" customWidth="1"/>
    <col min="7" max="7" width="23.140625" style="169" customWidth="1"/>
    <col min="8" max="8" width="28.5703125" style="169" customWidth="1"/>
    <col min="9" max="9" width="15.140625" style="169" customWidth="1"/>
    <col min="10" max="10" width="14" style="169" customWidth="1"/>
    <col min="11" max="16384" width="11.42578125" style="169"/>
  </cols>
  <sheetData>
    <row r="2" spans="2:11" x14ac:dyDescent="0.2">
      <c r="B2" s="178" t="s">
        <v>104</v>
      </c>
      <c r="C2" s="177" t="s">
        <v>94</v>
      </c>
      <c r="D2" s="178" t="s">
        <v>105</v>
      </c>
      <c r="E2" s="178" t="s">
        <v>93</v>
      </c>
      <c r="F2" s="179" t="s">
        <v>95</v>
      </c>
      <c r="G2"/>
      <c r="H2"/>
    </row>
    <row r="3" spans="2:11" ht="12.75" customHeight="1" x14ac:dyDescent="0.2">
      <c r="B3" s="170"/>
      <c r="J3" s="176"/>
      <c r="K3" s="175"/>
    </row>
    <row r="6" spans="2:11" x14ac:dyDescent="0.2">
      <c r="B6" s="170"/>
    </row>
    <row r="7" spans="2:11" x14ac:dyDescent="0.2">
      <c r="B7" s="170"/>
    </row>
    <row r="8" spans="2:11" x14ac:dyDescent="0.2">
      <c r="B8" s="170"/>
    </row>
    <row r="9" spans="2:11" x14ac:dyDescent="0.2">
      <c r="B9" s="170"/>
    </row>
    <row r="10" spans="2:11" x14ac:dyDescent="0.2">
      <c r="B10" s="170"/>
    </row>
    <row r="11" spans="2:11" x14ac:dyDescent="0.2">
      <c r="B11" s="170"/>
    </row>
    <row r="12" spans="2:11" x14ac:dyDescent="0.2">
      <c r="B12" s="170"/>
    </row>
    <row r="13" spans="2:11" x14ac:dyDescent="0.2">
      <c r="B13" s="170"/>
    </row>
    <row r="14" spans="2:11" x14ac:dyDescent="0.2">
      <c r="B14" s="170"/>
    </row>
    <row r="15" spans="2:11" x14ac:dyDescent="0.2">
      <c r="B15" s="170"/>
    </row>
    <row r="16" spans="2:11" x14ac:dyDescent="0.2">
      <c r="B16" s="170"/>
    </row>
    <row r="20" spans="2:2" x14ac:dyDescent="0.2">
      <c r="B20" s="170" t="s">
        <v>92</v>
      </c>
    </row>
  </sheetData>
  <hyperlinks>
    <hyperlink ref="B2" location="'User Guide'!A4" tooltip="Jump to top of worksheet" display="Top of Worksheet"/>
    <hyperlink ref="C2" location="'User Guide'!A42" tooltip="Jump to &quot;Summary&quot;" display="Summary"/>
    <hyperlink ref="D2" location="'User Guide'!A62" tooltip="Jump to &quot;Worksheets in this Workbook&quot;" display="Worksheets in this Workbook"/>
    <hyperlink ref="E2" location="'User Guide'!A78" tooltip="Jump to &quot;Single Calculation&quot;" display="Single Calculation"/>
    <hyperlink ref="F2" location="'User Guide'!A105" tooltip="Jump to &quot;Design Comparison&quot;" display="Design Compariso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Y116"/>
  <sheetViews>
    <sheetView showGridLines="0" zoomScaleNormal="100" workbookViewId="0">
      <selection activeCell="D8" sqref="D8"/>
    </sheetView>
  </sheetViews>
  <sheetFormatPr baseColWidth="10" defaultColWidth="9.140625" defaultRowHeight="12.75" x14ac:dyDescent="0.2"/>
  <cols>
    <col min="1" max="1" width="2.28515625" style="5" customWidth="1"/>
    <col min="2" max="2" width="63" style="5" customWidth="1"/>
    <col min="3" max="3" width="2.28515625" style="5" customWidth="1"/>
    <col min="4" max="4" width="11.5703125" style="5" customWidth="1"/>
    <col min="5" max="5" width="9.140625" style="5" customWidth="1"/>
    <col min="6" max="6" width="11.28515625" style="5" customWidth="1"/>
    <col min="7" max="7" width="2.85546875" style="5" customWidth="1"/>
    <col min="8" max="8" width="11.42578125" style="5" customWidth="1"/>
    <col min="9" max="9" width="4.5703125" style="5" customWidth="1"/>
    <col min="10" max="10" width="2.42578125" style="5" customWidth="1"/>
    <col min="11" max="13" width="9.140625" style="5" customWidth="1"/>
    <col min="14" max="15" width="9.140625" style="5"/>
    <col min="16" max="16" width="18.28515625" style="5" bestFit="1" customWidth="1"/>
    <col min="17" max="16384" width="9.140625" style="5"/>
  </cols>
  <sheetData>
    <row r="2" spans="2:23" ht="20.25" x14ac:dyDescent="0.3">
      <c r="B2" s="22" t="s">
        <v>26</v>
      </c>
      <c r="D2" s="34" t="s">
        <v>3</v>
      </c>
      <c r="E2" s="180" t="s">
        <v>43</v>
      </c>
      <c r="F2" s="180"/>
      <c r="G2" s="180"/>
      <c r="H2" s="56" t="s">
        <v>4</v>
      </c>
      <c r="J2" s="181" t="s">
        <v>76</v>
      </c>
      <c r="K2" s="181"/>
      <c r="L2" s="166" t="s">
        <v>91</v>
      </c>
      <c r="M2" s="18"/>
      <c r="N2" s="3"/>
      <c r="O2" s="3"/>
      <c r="P2" s="3"/>
      <c r="Q2" s="3"/>
      <c r="R2" s="3"/>
    </row>
    <row r="3" spans="2:23" ht="18" customHeight="1" x14ac:dyDescent="0.2">
      <c r="B3" s="16" t="s">
        <v>87</v>
      </c>
      <c r="E3" s="6"/>
      <c r="F3" s="6"/>
      <c r="G3" s="6"/>
      <c r="H3" s="6"/>
      <c r="I3" s="6"/>
      <c r="J3" s="3"/>
      <c r="K3" s="182" t="s">
        <v>77</v>
      </c>
      <c r="L3" s="3"/>
      <c r="M3" s="3"/>
      <c r="N3" s="3"/>
      <c r="O3" s="3"/>
      <c r="P3" s="3"/>
      <c r="Q3" s="3"/>
      <c r="R3" s="3"/>
      <c r="S3" s="6"/>
      <c r="T3" s="6"/>
      <c r="U3" s="6"/>
      <c r="V3" s="6"/>
      <c r="W3" s="6"/>
    </row>
    <row r="4" spans="2:23" ht="12.75" customHeight="1" x14ac:dyDescent="0.2">
      <c r="B4" s="134" t="s">
        <v>83</v>
      </c>
      <c r="E4" s="6"/>
      <c r="F4" s="6"/>
      <c r="G4" s="6"/>
      <c r="H4" s="6"/>
      <c r="I4" s="6"/>
      <c r="J4" s="3"/>
      <c r="K4" s="183"/>
      <c r="L4" s="3"/>
      <c r="M4" s="3"/>
      <c r="N4" s="3"/>
      <c r="O4" s="3"/>
      <c r="P4" s="3"/>
      <c r="Q4" s="3"/>
      <c r="R4" s="3"/>
      <c r="S4" s="6"/>
      <c r="T4" s="6"/>
      <c r="U4" s="6"/>
      <c r="V4" s="6"/>
      <c r="W4" s="6"/>
    </row>
    <row r="5" spans="2:23" x14ac:dyDescent="0.2">
      <c r="E5" s="6"/>
      <c r="F5" s="6"/>
      <c r="G5" s="6"/>
      <c r="H5" s="6"/>
      <c r="I5" s="6"/>
      <c r="J5" s="3"/>
      <c r="K5" s="183"/>
      <c r="L5" s="3"/>
      <c r="M5" s="3"/>
      <c r="N5" s="3"/>
      <c r="O5" s="3"/>
      <c r="P5" s="3"/>
      <c r="Q5" s="3"/>
      <c r="R5" s="3"/>
      <c r="S5" s="6"/>
      <c r="T5" s="6"/>
      <c r="U5" s="6"/>
      <c r="V5" s="6"/>
      <c r="W5" s="6"/>
    </row>
    <row r="6" spans="2:23" ht="15.75" x14ac:dyDescent="0.25">
      <c r="B6" s="4" t="s">
        <v>33</v>
      </c>
      <c r="E6" s="6"/>
      <c r="F6" s="6"/>
      <c r="G6" s="6"/>
      <c r="H6" s="6"/>
      <c r="I6" s="6"/>
      <c r="J6" s="3"/>
      <c r="K6" s="183"/>
      <c r="L6" s="3"/>
      <c r="M6" s="3"/>
      <c r="N6" s="3"/>
      <c r="O6" s="3"/>
      <c r="P6" s="3"/>
      <c r="Q6" s="3"/>
      <c r="R6" s="3"/>
      <c r="S6" s="6"/>
      <c r="T6" s="6"/>
      <c r="U6" s="6"/>
      <c r="V6" s="6"/>
      <c r="W6" s="6"/>
    </row>
    <row r="7" spans="2:23" x14ac:dyDescent="0.2">
      <c r="B7" s="33" t="s">
        <v>49</v>
      </c>
      <c r="E7" s="6"/>
      <c r="F7" s="6"/>
      <c r="G7" s="6"/>
      <c r="H7" s="6"/>
      <c r="I7" s="6"/>
      <c r="J7" s="3"/>
      <c r="K7" s="3"/>
      <c r="L7" s="3"/>
      <c r="M7" s="3"/>
      <c r="N7" s="3"/>
      <c r="O7" s="3"/>
      <c r="P7" s="3"/>
      <c r="Q7" s="3"/>
      <c r="R7" s="3"/>
      <c r="S7" s="6"/>
      <c r="T7" s="6"/>
      <c r="U7" s="6"/>
      <c r="V7" s="6"/>
      <c r="W7" s="6"/>
    </row>
    <row r="8" spans="2:23" x14ac:dyDescent="0.2">
      <c r="B8" s="138" t="s">
        <v>50</v>
      </c>
      <c r="D8" s="168">
        <v>730</v>
      </c>
      <c r="E8" s="17">
        <f>D8/365.25</f>
        <v>1.998631074606434</v>
      </c>
      <c r="F8" s="6"/>
      <c r="G8" s="6"/>
      <c r="H8" s="6"/>
      <c r="I8" s="6"/>
      <c r="J8" s="12" t="str">
        <f>IF(ISNUMBER(FIND("Err",K8)),"X",IF(ISNUMBER(FIND("W",K8)),"!",""))</f>
        <v/>
      </c>
      <c r="K8" s="16" t="str">
        <f>IF(NOT(AND(ISNUMBER(D8),D8&gt;0)),"Error: T must be greater than zero",IF(T&gt;2,"Warning: T is greater than 2 years", IF(T&lt;1/2, "Warning: T is less than half a year","")))</f>
        <v/>
      </c>
      <c r="L8" s="3"/>
      <c r="M8" s="3"/>
      <c r="N8" s="3"/>
      <c r="O8" s="3"/>
      <c r="P8" s="3"/>
      <c r="Q8" s="3"/>
      <c r="R8" s="3"/>
      <c r="S8" s="6"/>
      <c r="T8" s="6"/>
      <c r="U8" s="6"/>
      <c r="V8" s="6"/>
      <c r="W8" s="6"/>
    </row>
    <row r="9" spans="2:23" x14ac:dyDescent="0.2">
      <c r="B9" s="6"/>
      <c r="E9" s="6"/>
      <c r="F9" s="6"/>
      <c r="G9" s="140" t="str">
        <f>""&amp;100*(1-alpha)&amp;"% CIs (assuming input RSE"</f>
        <v>95% CIs (assuming input RSE</v>
      </c>
      <c r="H9" s="6"/>
      <c r="I9" s="6"/>
      <c r="J9" s="3"/>
      <c r="K9" s="3"/>
      <c r="L9" s="3"/>
      <c r="M9" s="3"/>
      <c r="N9" s="3"/>
      <c r="O9" s="3"/>
      <c r="P9" s="3"/>
      <c r="Q9" s="3"/>
      <c r="R9" s="3"/>
      <c r="S9" s="6"/>
      <c r="T9" s="6"/>
      <c r="U9" s="6"/>
      <c r="V9" s="6"/>
      <c r="W9" s="6"/>
    </row>
    <row r="10" spans="2:23" ht="15.75" x14ac:dyDescent="0.25">
      <c r="B10" s="4" t="s">
        <v>6</v>
      </c>
      <c r="D10" s="17">
        <f>D11/365.25</f>
        <v>0.54757015742642023</v>
      </c>
      <c r="F10" s="6"/>
      <c r="G10" s="141" t="s">
        <v>84</v>
      </c>
      <c r="I10" s="7"/>
      <c r="J10" s="7"/>
      <c r="K10" s="2"/>
      <c r="L10" s="3"/>
      <c r="M10" s="3"/>
      <c r="N10" s="3"/>
      <c r="O10" s="3"/>
      <c r="P10" s="3"/>
      <c r="Q10" s="3"/>
      <c r="R10" s="3"/>
      <c r="S10" s="6"/>
      <c r="T10" s="6"/>
      <c r="U10" s="6"/>
      <c r="V10" s="6"/>
      <c r="W10" s="6"/>
    </row>
    <row r="11" spans="2:23" x14ac:dyDescent="0.2">
      <c r="B11" s="138" t="s">
        <v>51</v>
      </c>
      <c r="D11" s="168">
        <v>200</v>
      </c>
      <c r="E11" s="8" t="s">
        <v>1</v>
      </c>
      <c r="F11" s="36">
        <f>IF(NOT(AND(ISNUMBER(D11),ISNUMBER(mdrihatcov))),"",IF(AND(D11&gt;0,mdrihatcov&gt;=0),(mdrihat-z*mdrihatcov*ABS(mdrihat))*365.25,""))</f>
        <v>180.40036015459947</v>
      </c>
      <c r="G11" s="37" t="s">
        <v>0</v>
      </c>
      <c r="H11" s="36">
        <f>IF(NOT(AND(ISNUMBER(D11),ISNUMBER(mdrihatcov))),"",IF(AND(D11&gt;0,mdrihatcov&gt;=0),(mdrihat+z*mdrihatcov*ABS(mdrihat))*365.25,""))</f>
        <v>219.59963984540053</v>
      </c>
      <c r="I11" s="6" t="s">
        <v>2</v>
      </c>
      <c r="J11" s="139" t="str">
        <f>IF(ISNUMBER(FIND("Err",K11)),"X",IF(ISNUMBER(FIND("W",K11)),"!",""))</f>
        <v/>
      </c>
      <c r="K11" s="16" t="str">
        <f>IF(NOT(AND(ISNUMBER(D11),D11&gt;0)),"Error: MDRI must be greater than zero",IF(AND(ISNUMBER(D11),D11&gt;0,ISNUMBER(D8),D8&gt;0,D11&gt;D8),"Error: MDRI cannot be greater than T",IF(mdrihat&gt;max_mdri,"Warning: Estimated MDRI is greater than "&amp; max_mdri&amp;" years",IF(mdrihat&lt;min_mdri,"Warning: Estimated MDRI is less than "&amp;min_mdri*365.25&amp;" days",""))))</f>
        <v/>
      </c>
      <c r="L11" s="3"/>
      <c r="M11" s="3"/>
      <c r="N11" s="3"/>
      <c r="O11" s="3"/>
      <c r="P11" s="3"/>
      <c r="Q11" s="3"/>
      <c r="R11" s="3"/>
      <c r="S11" s="6"/>
      <c r="T11" s="6"/>
      <c r="U11" s="6"/>
      <c r="V11" s="6"/>
      <c r="W11" s="6"/>
    </row>
    <row r="12" spans="2:23" x14ac:dyDescent="0.2">
      <c r="B12" s="138" t="s">
        <v>52</v>
      </c>
      <c r="D12" s="167">
        <v>0.05</v>
      </c>
      <c r="E12" s="9"/>
      <c r="F12" s="6"/>
      <c r="G12" s="6"/>
      <c r="H12" s="6"/>
      <c r="I12" s="6"/>
      <c r="J12" s="139" t="str">
        <f>IF(ISNUMBER(FIND("Err",K12)),"X",IF(ISNUMBER(FIND("W",K12)),"!",""))</f>
        <v/>
      </c>
      <c r="K12" s="16" t="str">
        <f>IF(NOT(AND(ISNUMBER(mdrihatcov),mdrihatcov&gt;=0)),"Error: RSE must be non-negative",IF(mdrihatcov&gt;maxcov_mdri,"Warning: RSE of estimated MDRI is greater than "&amp;100*maxcov_mdri&amp;"%", IF(mdrihatcov&lt;mincov_mdri,"Warning: RSE of estimated MDRI is less than "&amp;100*mincov_mdri&amp;"%","")))</f>
        <v/>
      </c>
      <c r="L12" s="3"/>
      <c r="M12" s="3"/>
      <c r="N12" s="3"/>
      <c r="O12" s="3"/>
      <c r="P12" s="3"/>
      <c r="Q12" s="3"/>
      <c r="R12" s="3"/>
      <c r="S12" s="6"/>
      <c r="T12" s="6"/>
      <c r="U12" s="6"/>
      <c r="V12" s="6"/>
      <c r="W12" s="6"/>
    </row>
    <row r="13" spans="2:23" x14ac:dyDescent="0.2">
      <c r="B13" s="138" t="s">
        <v>53</v>
      </c>
      <c r="D13" s="167">
        <v>0.01</v>
      </c>
      <c r="E13" s="8" t="s">
        <v>1</v>
      </c>
      <c r="F13" s="38">
        <f>IF(NOT(AND(ISNUMBER(frrhat),ISNUMBER(frrhatcov))),"",IF(AND(frrhat&gt;0,frrhat&lt;=1,frrhatcov&gt;=0),frrhat-z*frrhatcov*ABS(frrhat),""))</f>
        <v>6.0800720309198922E-3</v>
      </c>
      <c r="G13" s="39" t="s">
        <v>0</v>
      </c>
      <c r="H13" s="38">
        <f>IF(NOT(AND(ISNUMBER(frrhat),ISNUMBER(frrhatcov))),"",IF(AND(frrhat&gt;0,frrhat&lt;=1,frrhatcov&gt;=0),frrhat+z*frrhatcov*ABS(frrhat),""))</f>
        <v>1.3919927969080108E-2</v>
      </c>
      <c r="I13" s="6" t="s">
        <v>2</v>
      </c>
      <c r="J13" s="139" t="str">
        <f>IF(ISNUMBER(FIND("Err",K13)),"X",IF(ISNUMBER(FIND("W",K13)),"!",""))</f>
        <v/>
      </c>
      <c r="K13" s="16" t="str">
        <f>IF(NOT(AND(ISNUMBER(frrhat),frrhat&gt;=0,frrhat&lt;=1)),"Error: FRR must be a non-negative percentage not greater than 100%",IF(frrhat=0,"Warning: Zero estimated FRR",IF(frrhat&gt;max_frr,"Warning: Estimated FRR is greater than "&amp;max_frr*100&amp;"%","")))</f>
        <v/>
      </c>
      <c r="L13" s="3"/>
      <c r="M13" s="3"/>
      <c r="N13" s="3"/>
      <c r="O13" s="3"/>
      <c r="P13" s="3"/>
      <c r="Q13" s="3"/>
      <c r="R13" s="3"/>
      <c r="S13" s="6"/>
      <c r="T13" s="6"/>
      <c r="U13" s="6"/>
      <c r="V13" s="6"/>
      <c r="W13" s="6"/>
    </row>
    <row r="14" spans="2:23" x14ac:dyDescent="0.2">
      <c r="B14" s="138" t="s">
        <v>54</v>
      </c>
      <c r="D14" s="167">
        <v>0.2</v>
      </c>
      <c r="F14" s="10"/>
      <c r="G14" s="6"/>
      <c r="H14" s="6"/>
      <c r="I14" s="6"/>
      <c r="J14" s="139" t="str">
        <f>IF(ISNUMBER(FIND("Err",K14)),"X",IF(ISNUMBER(FIND("W",K14)),"!",""))</f>
        <v/>
      </c>
      <c r="K14" s="16" t="str">
        <f>IF(NOT(AND(ISNUMBER(frrhatcov),frrhatcov&gt;=0)),"Error: RSE must be non-negative",IF(frrhatcov&gt;maxcov_frr,"Warning: RSE of estimated FRR is greater than "&amp;100*maxcov_frr&amp;"%", IF(frrhatcov&lt;mincov_frr,"Warning: RSE of estimated FRR is less than "&amp;100*mincov_frr&amp;"%","")))</f>
        <v/>
      </c>
      <c r="L14" s="3"/>
      <c r="M14" s="3"/>
      <c r="N14" s="3"/>
      <c r="O14" s="3"/>
      <c r="P14" s="3"/>
      <c r="Q14" s="3"/>
      <c r="R14" s="3"/>
      <c r="S14" s="6"/>
      <c r="T14" s="6"/>
      <c r="U14" s="6"/>
      <c r="V14" s="6"/>
      <c r="W14" s="6"/>
    </row>
    <row r="15" spans="2:23" x14ac:dyDescent="0.2">
      <c r="B15" s="6"/>
      <c r="E15" s="10"/>
      <c r="F15" s="6"/>
      <c r="G15" s="6"/>
      <c r="H15" s="6"/>
      <c r="I15" s="6"/>
      <c r="J15" s="139" t="str">
        <f>IF(ISNUMBER(FIND("Err",K15)),"X","")</f>
        <v/>
      </c>
      <c r="K15" s="16" t="str">
        <f>IF(NOT(AND(ISNUMBER(D8),ISNUMBER(D11),ISNUMBER(frrhat))),"",IF(D11-frrhat*D8&lt;=0,"Error: Test properties are not consistent with a test for recent infection",""))</f>
        <v/>
      </c>
      <c r="L15" s="3"/>
      <c r="M15" s="3"/>
      <c r="N15" s="3"/>
      <c r="O15" s="3"/>
      <c r="P15" s="3"/>
      <c r="Q15" s="3"/>
      <c r="R15" s="3"/>
      <c r="S15" s="6"/>
      <c r="T15" s="6"/>
      <c r="U15" s="6"/>
      <c r="V15" s="6"/>
      <c r="W15" s="6"/>
    </row>
    <row r="16" spans="2:23" ht="15.75" x14ac:dyDescent="0.25">
      <c r="B16" s="4" t="s">
        <v>5</v>
      </c>
      <c r="E16" s="6"/>
      <c r="F16" s="6"/>
      <c r="G16" s="6"/>
      <c r="H16" s="6"/>
      <c r="I16" s="6"/>
      <c r="J16" s="12"/>
      <c r="K16" s="16"/>
      <c r="L16" s="3"/>
      <c r="M16" s="3"/>
      <c r="N16" s="3"/>
      <c r="O16" s="3"/>
      <c r="P16" s="3"/>
      <c r="Q16" s="3"/>
      <c r="R16" s="3"/>
      <c r="S16" s="6"/>
      <c r="T16" s="6"/>
      <c r="U16" s="6"/>
      <c r="V16" s="6"/>
      <c r="W16" s="6"/>
    </row>
    <row r="17" spans="2:25" x14ac:dyDescent="0.2">
      <c r="B17" s="6" t="s">
        <v>62</v>
      </c>
      <c r="D17" s="167">
        <v>1.4999999999999999E-2</v>
      </c>
      <c r="E17" s="29" t="s">
        <v>55</v>
      </c>
      <c r="F17" s="1"/>
      <c r="G17" s="1"/>
      <c r="H17" s="1"/>
      <c r="I17" s="1"/>
      <c r="J17" s="139" t="str">
        <f>IF(ISNUMBER(FIND("Err",K17)),"X",IF(ISNUMBER(FIND("W",K17)),"!",""))</f>
        <v/>
      </c>
      <c r="K17" s="16" t="str">
        <f>IF(NOT(AND(ISNUMBER(I),I&gt;0)),"Error: Incidence must be a percentage greater than zero",IF(I&gt;0.2,"Warning: Possible error in incidence input. "&amp;ROUND(I*100,2)&amp;"% seems exceptionally high",""))</f>
        <v/>
      </c>
      <c r="L17" s="3"/>
      <c r="M17" s="3"/>
      <c r="N17" s="3"/>
      <c r="O17" s="3"/>
      <c r="P17" s="3"/>
      <c r="Q17" s="3"/>
      <c r="R17" s="3"/>
      <c r="S17" s="6"/>
      <c r="T17" s="6"/>
      <c r="U17" s="6"/>
      <c r="V17" s="6"/>
      <c r="W17" s="6"/>
    </row>
    <row r="18" spans="2:25" x14ac:dyDescent="0.2">
      <c r="B18" s="6" t="s">
        <v>63</v>
      </c>
      <c r="D18" s="167">
        <v>0.2</v>
      </c>
      <c r="E18" s="6"/>
      <c r="F18" s="6"/>
      <c r="G18" s="6"/>
      <c r="H18" s="6"/>
      <c r="I18" s="6"/>
      <c r="J18" s="139" t="str">
        <f>IF(ISNUMBER(FIND("Err",K18)),"X",IF(ISNUMBER(FIND("W",K18)),"!",""))</f>
        <v/>
      </c>
      <c r="K18" s="16" t="str">
        <f>IF(NOT(AND(ISNUMBER(P),P&gt;0,P&lt;=1)),"Error: Prevalence must be a positive percentage not greater than 100%","")</f>
        <v/>
      </c>
      <c r="L18" s="3"/>
      <c r="M18" s="3"/>
      <c r="N18" s="3"/>
      <c r="O18" s="3"/>
      <c r="P18" s="3"/>
      <c r="Q18" s="3"/>
      <c r="R18" s="3"/>
      <c r="S18" s="6"/>
      <c r="T18" s="6"/>
      <c r="U18" s="6"/>
      <c r="V18" s="6"/>
      <c r="W18" s="6"/>
    </row>
    <row r="19" spans="2:25" x14ac:dyDescent="0.2">
      <c r="B19" s="6"/>
      <c r="E19" s="6"/>
      <c r="F19" s="6"/>
      <c r="G19" s="6"/>
      <c r="H19" s="6"/>
      <c r="I19" s="6"/>
      <c r="J19" s="3"/>
      <c r="K19" s="3"/>
      <c r="L19" s="3"/>
      <c r="M19" s="3"/>
      <c r="N19" s="3"/>
      <c r="O19" s="3"/>
      <c r="P19" s="3"/>
      <c r="Q19" s="3"/>
      <c r="R19" s="3"/>
      <c r="S19" s="6"/>
      <c r="T19" s="6"/>
      <c r="U19" s="6"/>
      <c r="V19" s="6"/>
      <c r="W19" s="6"/>
    </row>
    <row r="20" spans="2:25" ht="15.75" x14ac:dyDescent="0.25">
      <c r="B20" s="30" t="s">
        <v>73</v>
      </c>
      <c r="E20" s="6"/>
      <c r="F20" s="6"/>
      <c r="G20" s="6"/>
      <c r="H20" s="6"/>
      <c r="I20" s="6"/>
      <c r="J20" s="3"/>
      <c r="K20" s="3"/>
      <c r="L20" s="3"/>
      <c r="M20" s="3"/>
      <c r="N20" s="3"/>
      <c r="O20" s="3"/>
      <c r="P20" s="3"/>
      <c r="Q20" s="3"/>
      <c r="R20" s="3"/>
      <c r="S20" s="6"/>
      <c r="T20" s="6"/>
      <c r="U20" s="6"/>
      <c r="V20" s="6"/>
      <c r="W20" s="6"/>
    </row>
    <row r="21" spans="2:25" x14ac:dyDescent="0.2">
      <c r="B21" s="6" t="s">
        <v>14</v>
      </c>
      <c r="D21" s="144">
        <f>IF(NOT(ISNUMBER(P)),"",IF(P&gt;0,1-P,""))</f>
        <v>0.8</v>
      </c>
      <c r="E21" s="6"/>
      <c r="F21" s="6"/>
      <c r="G21" s="6"/>
      <c r="H21" s="6"/>
      <c r="I21" s="6"/>
      <c r="J21" s="3"/>
      <c r="K21" s="3"/>
      <c r="L21" s="3"/>
      <c r="M21" s="3"/>
      <c r="N21" s="3"/>
      <c r="O21" s="3"/>
      <c r="P21" s="3"/>
      <c r="Q21" s="3"/>
      <c r="R21" s="3"/>
      <c r="S21" s="6"/>
      <c r="T21" s="6"/>
      <c r="U21" s="6"/>
      <c r="V21" s="6"/>
      <c r="W21" s="6"/>
    </row>
    <row r="22" spans="2:25" x14ac:dyDescent="0.2">
      <c r="B22" s="6" t="s">
        <v>57</v>
      </c>
      <c r="D22" s="144">
        <f>IF(NOT(AND(ISNUMBER(I),ISNUMBER(P),ISNUMBER(D11),ISNUMBER(frrhat),ISNUMBER(D8))),"",1-D21-D23)</f>
        <v>0.19166899383983568</v>
      </c>
      <c r="E22" s="6"/>
      <c r="F22" s="6"/>
      <c r="G22" s="6"/>
      <c r="H22" s="6"/>
      <c r="I22" s="6"/>
      <c r="J22" s="139" t="str">
        <f>IF(ISNUMBER(FIND("Err",K22)),"X","")</f>
        <v/>
      </c>
      <c r="K22" s="16" t="str">
        <f>IF(OR(p_r&lt;0,p_nr&lt;0),"Error: Incompatible inputs produce negative population proportions","")</f>
        <v/>
      </c>
      <c r="L22" s="3"/>
      <c r="M22" s="3"/>
      <c r="N22" s="3"/>
      <c r="O22" s="3"/>
      <c r="P22" s="3"/>
      <c r="Q22" s="3"/>
      <c r="R22" s="3"/>
      <c r="S22" s="6"/>
      <c r="T22" s="6"/>
      <c r="U22" s="6"/>
      <c r="V22" s="6"/>
      <c r="W22" s="6"/>
    </row>
    <row r="23" spans="2:25" x14ac:dyDescent="0.2">
      <c r="B23" s="6" t="s">
        <v>58</v>
      </c>
      <c r="D23" s="144">
        <f>IF(NOT(AND(ISNUMBER(I),ISNUMBER(P),ISNUMBER(D11),ISNUMBER(frrhat),ISNUMBER(D8))),"",I*(1-P)*(mdrihat-frrhat*T)+frrhat*P)</f>
        <v>8.3310061601642692E-3</v>
      </c>
      <c r="E23" s="6"/>
      <c r="F23" s="6"/>
      <c r="G23" s="6"/>
      <c r="H23" s="6"/>
      <c r="I23" s="6"/>
      <c r="J23" s="3"/>
      <c r="K23" s="3"/>
      <c r="L23" s="3"/>
      <c r="M23" s="3"/>
      <c r="N23" s="3"/>
      <c r="O23" s="3"/>
      <c r="P23" s="3"/>
      <c r="Q23" s="3"/>
      <c r="R23" s="3"/>
      <c r="S23" s="6"/>
      <c r="T23" s="6"/>
      <c r="U23" s="6"/>
      <c r="V23" s="6"/>
      <c r="W23" s="6"/>
    </row>
    <row r="24" spans="2:25" x14ac:dyDescent="0.2">
      <c r="B24" s="6"/>
      <c r="E24" s="6"/>
      <c r="F24" s="6"/>
      <c r="G24" s="6"/>
      <c r="H24" s="6"/>
      <c r="I24" s="6"/>
      <c r="J24" s="3"/>
      <c r="K24" s="3"/>
      <c r="L24" s="3"/>
      <c r="M24" s="3"/>
      <c r="N24" s="3"/>
      <c r="O24" s="3"/>
      <c r="P24" s="3"/>
      <c r="Q24" s="3"/>
      <c r="R24" s="3"/>
      <c r="S24" s="6"/>
      <c r="T24" s="6"/>
      <c r="U24" s="6"/>
      <c r="V24" s="6"/>
      <c r="W24" s="6"/>
    </row>
    <row r="25" spans="2:25" ht="15.75" x14ac:dyDescent="0.25">
      <c r="B25" s="4" t="s">
        <v>27</v>
      </c>
      <c r="D25" s="168">
        <v>5000</v>
      </c>
      <c r="E25" s="6"/>
      <c r="F25" s="6"/>
      <c r="G25" s="6"/>
      <c r="H25" s="6"/>
      <c r="I25" s="6"/>
      <c r="J25" s="12" t="str">
        <f>IF(ISNUMBER(FIND("Err",K25)),"X",IF(ISNUMBER(FIND("W",K25)),"!",""))</f>
        <v/>
      </c>
      <c r="K25" s="87" t="str">
        <f>IF(NOT(AND(ISNUMBER(n),n&gt;0)),"Error: Sample size must be a positive integer",IF(n&lt;min_n,"Warning: Sample size is smaller than "&amp;min_n,""))</f>
        <v/>
      </c>
      <c r="L25" s="3"/>
      <c r="M25" s="3"/>
      <c r="N25" s="3"/>
      <c r="O25" s="3"/>
      <c r="P25" s="3"/>
      <c r="Q25" s="3"/>
      <c r="R25" s="3"/>
      <c r="S25" s="6"/>
      <c r="T25" s="6"/>
      <c r="U25" s="6"/>
      <c r="V25" s="6"/>
      <c r="W25" s="6"/>
    </row>
    <row r="26" spans="2:25" x14ac:dyDescent="0.2">
      <c r="E26" s="6"/>
      <c r="F26" s="6"/>
      <c r="G26" s="6"/>
      <c r="H26" s="6"/>
      <c r="I26" s="6"/>
      <c r="J26" s="3"/>
      <c r="K26" s="3"/>
      <c r="L26" s="3"/>
      <c r="M26" s="3"/>
      <c r="N26" s="3"/>
      <c r="O26" s="3"/>
      <c r="P26" s="3"/>
      <c r="Q26" s="3"/>
      <c r="R26" s="3"/>
      <c r="S26" s="6"/>
      <c r="T26" s="6"/>
      <c r="U26" s="6"/>
      <c r="V26" s="6"/>
      <c r="W26" s="6"/>
    </row>
    <row r="27" spans="2:25" ht="15.75" x14ac:dyDescent="0.25">
      <c r="B27" s="4" t="s">
        <v>34</v>
      </c>
      <c r="E27" s="1"/>
      <c r="F27" s="6"/>
      <c r="G27" s="142"/>
      <c r="I27" s="143"/>
      <c r="K27" s="3"/>
      <c r="L27" s="6"/>
      <c r="M27" s="6"/>
      <c r="N27" s="6"/>
      <c r="O27" s="6"/>
      <c r="P27" s="140"/>
      <c r="Q27" s="6"/>
      <c r="R27" s="6"/>
      <c r="S27" s="6"/>
      <c r="T27" s="6"/>
      <c r="U27" s="6"/>
      <c r="V27" s="6"/>
    </row>
    <row r="28" spans="2:25" x14ac:dyDescent="0.2">
      <c r="B28" s="6" t="s">
        <v>35</v>
      </c>
      <c r="D28" s="163">
        <v>1</v>
      </c>
      <c r="E28" s="1"/>
      <c r="F28" s="6"/>
      <c r="G28" s="142"/>
      <c r="I28" s="143"/>
      <c r="J28" s="12" t="str">
        <f>IF(ISNUMBER(FIND("Err",K28)),"X",IF(ISNUMBER(FIND("W",K28)),"!",""))</f>
        <v/>
      </c>
      <c r="K28" s="16" t="str">
        <f>IF(AND(ISNUMBER(DE_prev),DE_prev&gt;0),"","Error: Design effect must be greater than zero")</f>
        <v/>
      </c>
      <c r="L28" s="6"/>
      <c r="M28" s="6"/>
      <c r="N28" s="6"/>
      <c r="O28" s="6"/>
      <c r="P28" s="140"/>
      <c r="Q28" s="6"/>
      <c r="R28" s="6"/>
      <c r="S28" s="6"/>
      <c r="T28" s="6"/>
      <c r="U28" s="6"/>
      <c r="V28" s="6"/>
    </row>
    <row r="29" spans="2:25" x14ac:dyDescent="0.2">
      <c r="B29" s="6" t="s">
        <v>36</v>
      </c>
      <c r="D29" s="163">
        <v>1</v>
      </c>
      <c r="E29" s="1"/>
      <c r="F29" s="6"/>
      <c r="G29" s="142"/>
      <c r="I29" s="143"/>
      <c r="J29" s="12" t="str">
        <f>IF(ISNUMBER(FIND("Err",K29)),"X",IF(ISNUMBER(FIND("W",K29)),"!",""))</f>
        <v/>
      </c>
      <c r="K29" s="16" t="str">
        <f>IF(AND(ISNUMBER(DE_RgivenTested),DE_RgivenTested&gt;0),"","Error: Design effect must be greater than zero")</f>
        <v/>
      </c>
      <c r="L29" s="6"/>
      <c r="M29" s="6"/>
      <c r="N29" s="6"/>
      <c r="O29" s="6"/>
      <c r="P29" s="140"/>
      <c r="Q29" s="6"/>
      <c r="R29" s="6"/>
      <c r="S29" s="6"/>
      <c r="T29" s="6"/>
      <c r="U29" s="6"/>
      <c r="V29" s="6"/>
    </row>
    <row r="30" spans="2:25" x14ac:dyDescent="0.2">
      <c r="E30" s="6"/>
      <c r="F30" s="6"/>
      <c r="G30" s="6"/>
      <c r="H30" s="6"/>
      <c r="I30" s="6"/>
      <c r="J30" s="3"/>
      <c r="K30" s="3"/>
      <c r="L30" s="3"/>
      <c r="M30" s="3"/>
      <c r="N30" s="3"/>
      <c r="O30" s="3"/>
      <c r="P30" s="3"/>
      <c r="Q30" s="3"/>
      <c r="R30" s="3"/>
      <c r="S30" s="6"/>
      <c r="T30" s="6"/>
      <c r="U30" s="6"/>
      <c r="V30" s="6"/>
      <c r="W30" s="6"/>
    </row>
    <row r="31" spans="2:25" ht="16.149999999999999" customHeight="1" x14ac:dyDescent="0.25">
      <c r="B31" s="4" t="s">
        <v>44</v>
      </c>
      <c r="D31" s="13"/>
      <c r="E31" s="6"/>
      <c r="F31" s="6"/>
      <c r="G31" s="6"/>
      <c r="H31" s="18"/>
      <c r="I31" s="18"/>
      <c r="J31" s="18"/>
      <c r="K31" s="18"/>
      <c r="L31" s="18"/>
      <c r="M31" s="18"/>
      <c r="N31" s="18"/>
      <c r="O31" s="18"/>
      <c r="P31" s="18"/>
      <c r="Q31" s="18"/>
      <c r="R31" s="18"/>
      <c r="S31" s="18"/>
      <c r="T31" s="18"/>
      <c r="U31" s="18"/>
      <c r="V31" s="18"/>
      <c r="W31" s="18"/>
      <c r="X31" s="18"/>
      <c r="Y31" s="18"/>
    </row>
    <row r="32" spans="2:25" x14ac:dyDescent="0.2">
      <c r="B32" s="6" t="s">
        <v>56</v>
      </c>
      <c r="D32" s="162">
        <v>1</v>
      </c>
      <c r="E32" s="6"/>
      <c r="F32" s="6"/>
      <c r="G32" s="6"/>
      <c r="H32" s="18"/>
      <c r="I32" s="18"/>
      <c r="J32" s="139" t="str">
        <f>IF(ISNUMBER(FIND("Err",K32)),"X","")</f>
        <v/>
      </c>
      <c r="K32" s="16" t="str">
        <f>IF(NOT(AND(ISNUMBER(rec_cov),rec_cov&gt;0,rec_cov&lt;=1)),"Error: Recency test coverage must be a positive percentage not greater than 100%","")</f>
        <v/>
      </c>
      <c r="L32" s="18"/>
      <c r="M32" s="18"/>
      <c r="N32" s="18"/>
      <c r="O32" s="18"/>
      <c r="P32" s="18"/>
      <c r="Q32" s="18"/>
      <c r="R32" s="18"/>
      <c r="S32" s="18"/>
      <c r="T32" s="18"/>
      <c r="U32" s="18"/>
      <c r="V32" s="18"/>
      <c r="W32" s="18"/>
      <c r="X32" s="18"/>
      <c r="Y32" s="18"/>
    </row>
    <row r="33" spans="2:25" x14ac:dyDescent="0.2">
      <c r="B33" s="6"/>
      <c r="D33" s="1"/>
      <c r="E33" s="6"/>
      <c r="F33" s="6"/>
      <c r="G33" s="6"/>
      <c r="H33" s="18"/>
      <c r="I33" s="18"/>
      <c r="J33" s="18"/>
      <c r="K33" s="18"/>
      <c r="L33" s="18"/>
      <c r="M33" s="18"/>
      <c r="N33" s="18"/>
      <c r="O33" s="18"/>
      <c r="P33" s="18"/>
      <c r="Q33" s="18"/>
      <c r="R33" s="18"/>
      <c r="S33" s="18"/>
      <c r="T33" s="18"/>
      <c r="U33" s="18"/>
      <c r="V33" s="18"/>
      <c r="W33" s="18"/>
      <c r="X33" s="18"/>
      <c r="Y33" s="18"/>
    </row>
    <row r="34" spans="2:25" ht="16.5" customHeight="1" x14ac:dyDescent="0.25">
      <c r="B34" s="4" t="s">
        <v>79</v>
      </c>
      <c r="E34" s="11"/>
      <c r="F34" s="6"/>
      <c r="G34" s="6"/>
      <c r="H34" s="18"/>
      <c r="I34" s="18"/>
      <c r="L34" s="18"/>
      <c r="M34" s="18"/>
      <c r="N34" s="18"/>
      <c r="O34" s="18"/>
      <c r="P34" s="18"/>
      <c r="Q34" s="18"/>
      <c r="R34" s="18"/>
      <c r="S34" s="18"/>
      <c r="T34" s="18"/>
      <c r="U34" s="18"/>
      <c r="V34" s="18"/>
      <c r="W34" s="18"/>
      <c r="X34" s="18"/>
      <c r="Y34" s="18"/>
    </row>
    <row r="35" spans="2:25" s="149" customFormat="1" ht="12" customHeight="1" x14ac:dyDescent="0.2">
      <c r="B35" s="148" t="s">
        <v>80</v>
      </c>
      <c r="D35" s="156">
        <f>IF(error,"",SQRT(cov2_mdri+cov2_frr))</f>
        <v>7.6058327508695941E-2</v>
      </c>
      <c r="E35" s="151"/>
      <c r="F35" s="152"/>
      <c r="G35" s="152"/>
      <c r="H35" s="153"/>
      <c r="I35" s="153"/>
      <c r="J35" s="154"/>
      <c r="K35" s="155"/>
      <c r="L35" s="153"/>
      <c r="M35" s="153"/>
      <c r="N35" s="153"/>
      <c r="O35" s="153"/>
      <c r="P35" s="153"/>
      <c r="Q35" s="153"/>
      <c r="R35" s="153"/>
      <c r="S35" s="153"/>
      <c r="T35" s="153"/>
      <c r="U35" s="153"/>
      <c r="V35" s="153"/>
      <c r="W35" s="153"/>
      <c r="X35" s="153"/>
      <c r="Y35" s="153"/>
    </row>
    <row r="36" spans="2:25" s="149" customFormat="1" ht="12" customHeight="1" x14ac:dyDescent="0.2">
      <c r="B36" s="148" t="s">
        <v>81</v>
      </c>
      <c r="D36" s="150">
        <f>IF(error,"",SQRT(_cov2))</f>
        <v>0.21650276868450255</v>
      </c>
      <c r="E36" s="151"/>
      <c r="F36" s="152"/>
      <c r="G36" s="152"/>
      <c r="H36" s="153"/>
      <c r="I36" s="153"/>
      <c r="J36" s="154" t="str">
        <f>IF(ISNUMBER(FIND("W",K36)),"!","")</f>
        <v/>
      </c>
      <c r="K36" s="155" t="str">
        <f>IF(ISNUMBER(inc_cov),IF(inc_cov&gt;max_cov,"Warning: Implied RSE is greater than "&amp;100*max_cov&amp;"%",""),"")</f>
        <v/>
      </c>
      <c r="L36" s="153"/>
      <c r="M36" s="153"/>
      <c r="N36" s="153"/>
      <c r="O36" s="153"/>
      <c r="P36" s="153"/>
      <c r="Q36" s="153"/>
      <c r="R36" s="153"/>
      <c r="S36" s="153"/>
      <c r="T36" s="153"/>
      <c r="U36" s="153"/>
      <c r="V36" s="153"/>
      <c r="W36" s="153"/>
      <c r="X36" s="153"/>
      <c r="Y36" s="153"/>
    </row>
    <row r="37" spans="2:25" x14ac:dyDescent="0.2">
      <c r="B37" s="6"/>
      <c r="D37" s="1"/>
      <c r="E37" s="6"/>
      <c r="F37" s="6"/>
      <c r="G37" s="6"/>
      <c r="H37" s="18"/>
      <c r="I37" s="18"/>
      <c r="K37" s="18"/>
      <c r="L37" s="18"/>
      <c r="M37" s="18"/>
      <c r="N37" s="18"/>
      <c r="O37" s="18"/>
      <c r="P37" s="18"/>
      <c r="Q37" s="18"/>
      <c r="R37" s="18"/>
      <c r="S37" s="18"/>
      <c r="T37" s="18"/>
      <c r="U37" s="18"/>
      <c r="V37" s="18"/>
      <c r="W37" s="18"/>
      <c r="X37" s="18"/>
      <c r="Y37" s="18"/>
    </row>
    <row r="38" spans="2:25" ht="15.75" x14ac:dyDescent="0.25">
      <c r="B38" s="4" t="s">
        <v>64</v>
      </c>
      <c r="D38" s="26"/>
      <c r="E38" s="6"/>
      <c r="F38" s="6"/>
      <c r="G38" s="6"/>
      <c r="H38" s="18"/>
      <c r="I38" s="18"/>
      <c r="J38" s="18"/>
      <c r="K38" s="18"/>
      <c r="L38" s="18"/>
      <c r="M38" s="18"/>
      <c r="N38" s="18"/>
      <c r="O38" s="18"/>
      <c r="P38" s="18"/>
      <c r="Q38" s="18"/>
      <c r="R38" s="18"/>
      <c r="S38" s="18"/>
      <c r="T38" s="18"/>
      <c r="U38" s="18"/>
      <c r="V38" s="18"/>
      <c r="W38" s="18"/>
      <c r="X38" s="18"/>
      <c r="Y38" s="18"/>
    </row>
    <row r="39" spans="2:25" x14ac:dyDescent="0.2">
      <c r="B39" s="21" t="s">
        <v>85</v>
      </c>
      <c r="C39" s="21"/>
      <c r="D39" s="88">
        <f>IF(error,"",I-z*I*inc_cov)</f>
        <v>8.6349355623775333E-3</v>
      </c>
      <c r="E39" s="6" t="s">
        <v>55</v>
      </c>
      <c r="F39" s="6"/>
      <c r="G39" s="6"/>
      <c r="H39" s="18"/>
      <c r="I39" s="18"/>
      <c r="J39" s="139" t="str">
        <f>IF(ISNUMBER(FIND("W",K39)),"!","")</f>
        <v/>
      </c>
      <c r="K39" s="16" t="str">
        <f>IF(ISNUMBER(inc_cov),IF(inc_cov&gt;1/z,"Warning: 95% confidence interval for incidence contains zero",""),"")</f>
        <v/>
      </c>
      <c r="L39" s="18"/>
      <c r="M39" s="18"/>
      <c r="N39" s="18"/>
      <c r="O39" s="18"/>
      <c r="P39" s="18"/>
      <c r="Q39" s="18"/>
      <c r="R39" s="18"/>
      <c r="S39" s="18"/>
      <c r="T39" s="18"/>
      <c r="U39" s="18"/>
      <c r="V39" s="18"/>
      <c r="W39" s="18"/>
      <c r="X39" s="18"/>
      <c r="Y39" s="18"/>
    </row>
    <row r="40" spans="2:25" x14ac:dyDescent="0.2">
      <c r="B40" s="21" t="s">
        <v>86</v>
      </c>
      <c r="C40" s="21"/>
      <c r="D40" s="40">
        <f>IF(error,"",I+z*inc_cov*I)</f>
        <v>2.1365064437622466E-2</v>
      </c>
      <c r="E40" s="57" t="s">
        <v>55</v>
      </c>
      <c r="F40" s="12"/>
      <c r="G40" s="12"/>
      <c r="H40" s="19"/>
      <c r="I40" s="18"/>
      <c r="J40" s="20"/>
      <c r="K40" s="18"/>
      <c r="L40" s="18"/>
      <c r="M40" s="18"/>
      <c r="N40" s="18"/>
      <c r="O40" s="18"/>
      <c r="P40" s="18"/>
      <c r="Q40" s="18"/>
      <c r="R40" s="18"/>
      <c r="S40" s="18"/>
      <c r="T40" s="18"/>
      <c r="U40" s="18"/>
      <c r="V40" s="18"/>
      <c r="W40" s="18"/>
      <c r="X40" s="18"/>
      <c r="Y40" s="18"/>
    </row>
    <row r="41" spans="2:25" s="6" customFormat="1" x14ac:dyDescent="0.2">
      <c r="D41" s="28"/>
      <c r="E41" s="14"/>
      <c r="F41" s="15"/>
      <c r="G41" s="15"/>
      <c r="H41" s="15"/>
    </row>
    <row r="42" spans="2:25" s="6" customFormat="1" x14ac:dyDescent="0.2">
      <c r="D42" s="28"/>
      <c r="E42" s="14"/>
      <c r="F42" s="15"/>
      <c r="G42" s="15"/>
      <c r="H42" s="15"/>
    </row>
    <row r="43" spans="2:25" s="6" customFormat="1" x14ac:dyDescent="0.2">
      <c r="B43" s="41"/>
      <c r="C43" s="41"/>
      <c r="D43" s="41"/>
      <c r="E43" s="120"/>
      <c r="F43" s="15"/>
      <c r="G43" s="15"/>
      <c r="H43" s="15"/>
    </row>
    <row r="44" spans="2:25" s="6" customFormat="1" ht="15" x14ac:dyDescent="0.25">
      <c r="B44" s="145" t="s">
        <v>60</v>
      </c>
      <c r="C44" s="3"/>
      <c r="D44" s="3"/>
      <c r="E44" s="118"/>
      <c r="F44" s="15"/>
      <c r="G44" s="15"/>
      <c r="H44" s="135"/>
      <c r="I44" s="3"/>
      <c r="J44" s="3"/>
      <c r="K44" s="3"/>
      <c r="L44" s="3"/>
      <c r="M44" s="3"/>
      <c r="N44" s="3"/>
      <c r="O44" s="3"/>
      <c r="P44" s="3"/>
      <c r="Q44" s="3"/>
      <c r="R44" s="3"/>
      <c r="S44" s="3"/>
    </row>
    <row r="45" spans="2:25" s="6" customFormat="1" x14ac:dyDescent="0.2">
      <c r="B45" s="3" t="s">
        <v>14</v>
      </c>
      <c r="C45" s="3"/>
      <c r="D45" s="124">
        <f>IF(error,"",n*D21)</f>
        <v>4000</v>
      </c>
      <c r="E45" s="118"/>
      <c r="F45" s="15"/>
      <c r="G45" s="15"/>
      <c r="H45" s="135"/>
      <c r="I45" s="3"/>
      <c r="J45" s="3"/>
      <c r="K45" s="3"/>
      <c r="L45" s="3"/>
      <c r="M45" s="3"/>
      <c r="N45" s="3"/>
      <c r="O45" s="3"/>
      <c r="P45" s="3"/>
      <c r="Q45" s="3"/>
      <c r="R45" s="3"/>
      <c r="S45" s="3"/>
    </row>
    <row r="46" spans="2:25" s="6" customFormat="1" x14ac:dyDescent="0.2">
      <c r="B46" s="3" t="s">
        <v>17</v>
      </c>
      <c r="C46" s="3"/>
      <c r="D46" s="124">
        <f>IF(error,"",n*P)</f>
        <v>1000</v>
      </c>
      <c r="E46" s="118"/>
      <c r="F46" s="15"/>
      <c r="G46" s="15"/>
      <c r="H46" s="135"/>
      <c r="I46" s="3"/>
      <c r="J46" s="3"/>
      <c r="K46" s="3"/>
      <c r="L46" s="3"/>
      <c r="M46" s="3"/>
      <c r="N46" s="3"/>
      <c r="O46" s="3"/>
      <c r="P46" s="3"/>
      <c r="Q46" s="3"/>
      <c r="R46" s="3"/>
      <c r="S46" s="3"/>
    </row>
    <row r="47" spans="2:25" s="6" customFormat="1" x14ac:dyDescent="0.2">
      <c r="B47" s="3" t="s">
        <v>47</v>
      </c>
      <c r="C47" s="3"/>
      <c r="D47" s="124">
        <f>IF(error,"",n*P*rec_cov)</f>
        <v>1000</v>
      </c>
      <c r="E47" s="85"/>
      <c r="H47" s="3"/>
      <c r="I47" s="3"/>
      <c r="J47" s="3"/>
      <c r="K47" s="3"/>
      <c r="L47" s="3"/>
      <c r="M47" s="3"/>
      <c r="N47" s="3"/>
      <c r="O47" s="3"/>
      <c r="P47" s="3"/>
      <c r="Q47" s="3"/>
      <c r="R47" s="3"/>
      <c r="S47" s="3"/>
    </row>
    <row r="48" spans="2:25" s="6" customFormat="1" x14ac:dyDescent="0.2">
      <c r="B48" s="3" t="s">
        <v>59</v>
      </c>
      <c r="C48" s="3"/>
      <c r="D48" s="124">
        <f>IF(error,"",D47*p_RgivenTested)</f>
        <v>41.655030800821358</v>
      </c>
      <c r="E48" s="119"/>
      <c r="H48" s="3"/>
      <c r="I48" s="3"/>
      <c r="J48" s="146" t="str">
        <f>IF(ISNUMBER(FIND("W",K48)),"!","")</f>
        <v/>
      </c>
      <c r="K48" s="16" t="str">
        <f>IF(error,"",IF(ISNUMBER(inc_cov),IF(AND(p_r*n&lt;=min_n_r,n&gt;0),"Warning: Expected count of ""recent"" infection is less than "&amp;min_n_r,""),""))</f>
        <v/>
      </c>
      <c r="L48" s="3"/>
      <c r="M48" s="3"/>
      <c r="N48" s="3"/>
      <c r="O48" s="3"/>
      <c r="P48" s="3"/>
      <c r="Q48" s="3"/>
      <c r="R48" s="3"/>
      <c r="S48" s="3"/>
    </row>
    <row r="49" spans="2:20" s="6" customFormat="1" x14ac:dyDescent="0.2">
      <c r="B49" s="3" t="s">
        <v>48</v>
      </c>
      <c r="C49" s="3"/>
      <c r="D49" s="125">
        <f>IF(error,"",D45+D46)</f>
        <v>5000</v>
      </c>
      <c r="E49" s="85"/>
      <c r="H49" s="3"/>
      <c r="I49" s="3"/>
      <c r="J49" s="3"/>
      <c r="K49" s="3"/>
      <c r="L49" s="3"/>
      <c r="M49" s="3"/>
      <c r="N49" s="3"/>
      <c r="O49" s="3"/>
      <c r="P49" s="3"/>
      <c r="Q49" s="3"/>
      <c r="R49" s="3"/>
      <c r="S49" s="3"/>
    </row>
    <row r="50" spans="2:20" s="6" customFormat="1" x14ac:dyDescent="0.2">
      <c r="B50" s="3"/>
      <c r="C50" s="3"/>
      <c r="D50" s="126"/>
      <c r="E50" s="18"/>
      <c r="F50" s="18"/>
      <c r="G50" s="18"/>
      <c r="H50" s="18"/>
      <c r="I50" s="18"/>
      <c r="J50" s="18"/>
      <c r="K50" s="18"/>
      <c r="L50" s="18"/>
      <c r="M50" s="18"/>
      <c r="N50" s="18"/>
      <c r="O50" s="18"/>
      <c r="P50" s="18"/>
      <c r="Q50" s="18"/>
      <c r="R50" s="18"/>
      <c r="S50" s="3"/>
    </row>
    <row r="51" spans="2:20" s="6" customFormat="1" x14ac:dyDescent="0.2">
      <c r="B51" s="3"/>
      <c r="C51" s="3"/>
      <c r="D51" s="164"/>
      <c r="E51" s="18"/>
      <c r="F51" s="18"/>
      <c r="G51" s="18"/>
      <c r="H51" s="18"/>
      <c r="I51" s="18"/>
      <c r="J51" s="18"/>
      <c r="K51" s="18"/>
      <c r="L51" s="18"/>
      <c r="M51" s="18"/>
      <c r="N51" s="18"/>
      <c r="O51" s="18"/>
      <c r="P51" s="18"/>
      <c r="Q51" s="18"/>
      <c r="R51" s="18"/>
      <c r="S51" s="3"/>
    </row>
    <row r="52" spans="2:20" s="6" customFormat="1" x14ac:dyDescent="0.2">
      <c r="C52" s="3"/>
      <c r="D52" s="18"/>
      <c r="E52" s="18"/>
      <c r="F52" s="18"/>
      <c r="G52" s="18"/>
      <c r="H52" s="18"/>
      <c r="I52" s="18"/>
      <c r="J52" s="18"/>
      <c r="K52" s="18"/>
      <c r="L52" s="18"/>
      <c r="M52" s="18"/>
      <c r="N52" s="18"/>
      <c r="O52" s="18"/>
      <c r="P52" s="18"/>
      <c r="Q52" s="18"/>
      <c r="R52" s="18"/>
      <c r="S52" s="3"/>
    </row>
    <row r="53" spans="2:20" s="6" customFormat="1" x14ac:dyDescent="0.2">
      <c r="B53" s="3"/>
      <c r="D53" s="165"/>
      <c r="E53" s="18"/>
      <c r="F53" s="18"/>
      <c r="G53" s="18"/>
      <c r="H53" s="18"/>
      <c r="I53" s="17"/>
      <c r="J53" s="17"/>
      <c r="K53" s="17"/>
      <c r="L53" s="17"/>
      <c r="M53" s="17"/>
      <c r="N53" s="17"/>
      <c r="O53" s="17"/>
      <c r="P53" s="17"/>
      <c r="Q53" s="17"/>
      <c r="R53" s="18"/>
      <c r="S53" s="3"/>
    </row>
    <row r="54" spans="2:20" s="6" customFormat="1" x14ac:dyDescent="0.2">
      <c r="D54" s="164"/>
      <c r="E54" s="18"/>
      <c r="F54" s="18"/>
      <c r="G54" s="18"/>
      <c r="H54" s="18"/>
      <c r="I54" s="17"/>
      <c r="J54" s="17"/>
      <c r="K54" s="17"/>
      <c r="L54" s="17"/>
      <c r="M54" s="17"/>
      <c r="N54" s="17"/>
      <c r="O54" s="17"/>
      <c r="P54" s="17"/>
      <c r="Q54" s="17"/>
      <c r="R54" s="18"/>
      <c r="S54" s="17"/>
      <c r="T54" s="17"/>
    </row>
    <row r="55" spans="2:20" s="6" customFormat="1" x14ac:dyDescent="0.2">
      <c r="B55" s="84"/>
      <c r="C55" s="84"/>
      <c r="D55" s="18"/>
      <c r="E55" s="18"/>
      <c r="F55" s="18"/>
      <c r="G55" s="18"/>
      <c r="H55" s="18"/>
      <c r="I55" s="17"/>
      <c r="J55" s="17"/>
      <c r="K55" s="17"/>
      <c r="L55" s="171" t="s">
        <v>18</v>
      </c>
      <c r="M55" s="17"/>
      <c r="N55" s="17"/>
      <c r="O55" s="172" t="s">
        <v>37</v>
      </c>
      <c r="P55" s="17"/>
      <c r="Q55" s="27"/>
      <c r="R55" s="95"/>
      <c r="S55" s="27"/>
      <c r="T55" s="27"/>
    </row>
    <row r="56" spans="2:20" s="6" customFormat="1" x14ac:dyDescent="0.2">
      <c r="B56" s="84"/>
      <c r="C56" s="84"/>
      <c r="D56" s="18"/>
      <c r="E56" s="18"/>
      <c r="F56" s="18"/>
      <c r="G56" s="18"/>
      <c r="H56" s="18"/>
      <c r="I56" s="17"/>
      <c r="J56" s="17"/>
      <c r="K56" s="17"/>
      <c r="L56" s="92" t="s">
        <v>14</v>
      </c>
      <c r="M56" s="90">
        <f>D21</f>
        <v>0.8</v>
      </c>
      <c r="N56" s="17"/>
      <c r="O56" s="92" t="s">
        <v>7</v>
      </c>
      <c r="P56" s="17">
        <f>DE_prev/(n*p_pos*(1-p_pos)) + (DE_R*p_RgivenTested*(1-p_RgivenTested))/(n_t*(p_RgivenTested-frrhat)^2)</f>
        <v>4.1088579664635166E-2</v>
      </c>
      <c r="Q56" s="27"/>
      <c r="R56" s="95"/>
      <c r="S56" s="27"/>
      <c r="T56" s="27"/>
    </row>
    <row r="57" spans="2:20" s="6" customFormat="1" x14ac:dyDescent="0.2">
      <c r="B57" s="84"/>
      <c r="C57" s="84"/>
      <c r="D57" s="97"/>
      <c r="E57" s="18"/>
      <c r="F57" s="18"/>
      <c r="G57" s="18"/>
      <c r="H57" s="18"/>
      <c r="I57" s="17"/>
      <c r="J57" s="17"/>
      <c r="K57" s="17"/>
      <c r="L57" s="92" t="s">
        <v>15</v>
      </c>
      <c r="M57" s="91">
        <f>D23</f>
        <v>8.3310061601642692E-3</v>
      </c>
      <c r="N57" s="17"/>
      <c r="O57" s="92" t="s">
        <v>8</v>
      </c>
      <c r="P57" s="17">
        <f>(mdrihatcov*mdrihat/(mdrihat-frrhat*T))^2</f>
        <v>2.6930013473085747E-3</v>
      </c>
      <c r="Q57" s="27"/>
      <c r="R57" s="95"/>
      <c r="S57" s="27"/>
      <c r="T57" s="27"/>
    </row>
    <row r="58" spans="2:20" s="6" customFormat="1" x14ac:dyDescent="0.2">
      <c r="B58" s="84"/>
      <c r="C58" s="84"/>
      <c r="D58" s="18"/>
      <c r="E58" s="18"/>
      <c r="F58" s="18"/>
      <c r="G58" s="18"/>
      <c r="H58" s="18"/>
      <c r="I58" s="17"/>
      <c r="J58" s="17"/>
      <c r="K58" s="17"/>
      <c r="L58" s="92" t="s">
        <v>16</v>
      </c>
      <c r="M58" s="90">
        <f>D22</f>
        <v>0.19166899383983568</v>
      </c>
      <c r="N58" s="17"/>
      <c r="O58" s="92" t="s">
        <v>9</v>
      </c>
      <c r="P58" s="17">
        <f>(frrhatcov*frrhat*(mdrihat - p_RgivenTested*T)/((mdrihat - frrhat*T)*(p_RgivenTested - frrhat)))^2</f>
        <v>3.0918678361114794E-3</v>
      </c>
      <c r="Q58" s="27"/>
      <c r="R58" s="95"/>
      <c r="S58" s="27"/>
      <c r="T58" s="27"/>
    </row>
    <row r="59" spans="2:20" s="6" customFormat="1" x14ac:dyDescent="0.2">
      <c r="B59" s="84"/>
      <c r="C59" s="84"/>
      <c r="D59" s="18"/>
      <c r="E59" s="18"/>
      <c r="F59" s="18"/>
      <c r="G59" s="18"/>
      <c r="H59" s="18"/>
      <c r="I59" s="17"/>
      <c r="J59" s="17"/>
      <c r="K59" s="17"/>
      <c r="L59" s="92" t="s">
        <v>17</v>
      </c>
      <c r="M59" s="90">
        <f>p_r+p_nr</f>
        <v>0.19999999999999996</v>
      </c>
      <c r="N59" s="17"/>
      <c r="O59" s="27"/>
      <c r="P59" s="27"/>
      <c r="Q59" s="27"/>
      <c r="R59" s="95"/>
      <c r="S59" s="27"/>
      <c r="T59" s="27"/>
    </row>
    <row r="60" spans="2:20" s="6" customFormat="1" x14ac:dyDescent="0.2">
      <c r="B60" s="84"/>
      <c r="C60" s="84"/>
      <c r="D60" s="18"/>
      <c r="E60" s="18"/>
      <c r="F60" s="18"/>
      <c r="G60" s="18"/>
      <c r="H60" s="18"/>
      <c r="I60" s="17"/>
      <c r="J60" s="17"/>
      <c r="K60" s="17"/>
      <c r="L60" s="147" t="s">
        <v>45</v>
      </c>
      <c r="M60" s="173">
        <f>p_r/p_pos</f>
        <v>4.1655030800821356E-2</v>
      </c>
      <c r="N60" s="17"/>
      <c r="O60" s="17" t="s">
        <v>10</v>
      </c>
      <c r="P60" s="17">
        <f>SUM(P56:P58)</f>
        <v>4.6873448848055214E-2</v>
      </c>
      <c r="Q60" s="27"/>
      <c r="R60" s="95"/>
      <c r="S60" s="27"/>
      <c r="T60" s="27"/>
    </row>
    <row r="61" spans="2:20" s="6" customFormat="1" x14ac:dyDescent="0.2">
      <c r="B61" s="84"/>
      <c r="C61" s="84"/>
      <c r="D61" s="18"/>
      <c r="E61" s="18"/>
      <c r="F61" s="18"/>
      <c r="G61" s="18"/>
      <c r="H61" s="18"/>
      <c r="I61" s="17"/>
      <c r="J61" s="17"/>
      <c r="K61" s="17"/>
      <c r="L61" s="147" t="s">
        <v>46</v>
      </c>
      <c r="M61" s="174">
        <f>n*p_pos*rec_cov</f>
        <v>999.99999999999977</v>
      </c>
      <c r="N61" s="17"/>
      <c r="O61" s="17"/>
      <c r="P61" s="17"/>
      <c r="Q61" s="27"/>
      <c r="R61" s="95"/>
      <c r="S61" s="27"/>
      <c r="T61" s="27"/>
    </row>
    <row r="62" spans="2:20" s="6" customFormat="1" x14ac:dyDescent="0.2">
      <c r="B62" s="84"/>
      <c r="C62" s="84"/>
      <c r="D62" s="18"/>
      <c r="E62" s="18"/>
      <c r="F62" s="18"/>
      <c r="G62" s="18"/>
      <c r="H62" s="18"/>
      <c r="I62" s="17"/>
      <c r="J62" s="17"/>
      <c r="K62" s="17"/>
      <c r="L62" s="147"/>
      <c r="M62" s="174"/>
      <c r="N62" s="17"/>
      <c r="O62" s="172" t="s">
        <v>70</v>
      </c>
      <c r="P62" s="17" t="b">
        <f>IF(COUNTIF(J8:J32,"X")&gt;0,TRUE(),FALSE())</f>
        <v>0</v>
      </c>
      <c r="Q62" s="27"/>
      <c r="R62" s="95"/>
      <c r="S62" s="27"/>
      <c r="T62" s="27"/>
    </row>
    <row r="63" spans="2:20" s="6" customFormat="1" x14ac:dyDescent="0.2">
      <c r="B63" s="84"/>
      <c r="C63" s="84"/>
      <c r="D63" s="18"/>
      <c r="E63" s="18"/>
      <c r="F63" s="18"/>
      <c r="G63" s="18"/>
      <c r="H63" s="18"/>
      <c r="I63" s="17"/>
      <c r="J63" s="17"/>
      <c r="K63" s="17"/>
      <c r="L63" s="172" t="s">
        <v>11</v>
      </c>
      <c r="M63" s="17"/>
      <c r="N63" s="17"/>
      <c r="O63" s="17"/>
      <c r="P63" s="17"/>
      <c r="Q63" s="17"/>
      <c r="R63" s="18"/>
      <c r="S63" s="17"/>
      <c r="T63" s="17"/>
    </row>
    <row r="64" spans="2:20" s="6" customFormat="1" x14ac:dyDescent="0.2">
      <c r="B64" s="84"/>
      <c r="C64" s="84"/>
      <c r="D64" s="18"/>
      <c r="E64" s="18"/>
      <c r="F64" s="18"/>
      <c r="G64" s="18"/>
      <c r="H64" s="17"/>
      <c r="I64" s="17"/>
      <c r="J64" s="17"/>
      <c r="K64" s="17"/>
      <c r="L64" s="92" t="s">
        <v>12</v>
      </c>
      <c r="M64" s="17">
        <v>0.05</v>
      </c>
      <c r="N64" s="17"/>
      <c r="O64" s="17"/>
      <c r="P64" s="17"/>
      <c r="Q64" s="17"/>
      <c r="R64" s="17"/>
      <c r="S64" s="17"/>
      <c r="T64" s="17"/>
    </row>
    <row r="65" spans="2:20" s="6" customFormat="1" x14ac:dyDescent="0.2">
      <c r="B65" s="84"/>
      <c r="C65" s="84"/>
      <c r="D65" s="18"/>
      <c r="E65" s="18"/>
      <c r="F65" s="18"/>
      <c r="G65" s="18"/>
      <c r="H65" s="17"/>
      <c r="I65" s="17"/>
      <c r="J65" s="17"/>
      <c r="K65" s="17"/>
      <c r="L65" s="92" t="s">
        <v>13</v>
      </c>
      <c r="M65" s="17">
        <f>NORMSINV(1-alpha/2)</f>
        <v>1.9599639845400536</v>
      </c>
      <c r="N65" s="17"/>
      <c r="O65" s="17"/>
      <c r="P65" s="17"/>
      <c r="Q65" s="17"/>
      <c r="R65" s="17"/>
      <c r="S65" s="17"/>
      <c r="T65" s="17"/>
    </row>
    <row r="66" spans="2:20" s="6" customFormat="1" x14ac:dyDescent="0.2">
      <c r="B66" s="84"/>
      <c r="C66" s="84"/>
      <c r="D66" s="18"/>
      <c r="E66" s="18"/>
      <c r="F66" s="18"/>
      <c r="G66" s="18"/>
      <c r="H66" s="17"/>
      <c r="I66" s="17"/>
      <c r="J66" s="17"/>
      <c r="K66" s="17"/>
      <c r="L66" s="92" t="s">
        <v>38</v>
      </c>
      <c r="M66" s="93">
        <v>0.3</v>
      </c>
      <c r="N66" s="17"/>
      <c r="O66" s="17"/>
      <c r="P66" s="17"/>
      <c r="Q66" s="18"/>
      <c r="R66" s="17"/>
      <c r="S66" s="17"/>
      <c r="T66" s="17"/>
    </row>
    <row r="67" spans="2:20" s="6" customFormat="1" x14ac:dyDescent="0.2">
      <c r="B67" s="84"/>
      <c r="C67" s="84"/>
      <c r="D67" s="18"/>
      <c r="E67" s="18"/>
      <c r="F67" s="18"/>
      <c r="G67" s="18"/>
      <c r="H67" s="17"/>
      <c r="I67" s="17"/>
      <c r="J67" s="17"/>
      <c r="K67" s="17"/>
      <c r="L67" s="92" t="s">
        <v>39</v>
      </c>
      <c r="M67" s="93">
        <v>0.01</v>
      </c>
      <c r="N67" s="17"/>
      <c r="O67" s="17"/>
      <c r="P67" s="17"/>
      <c r="Q67" s="17"/>
      <c r="R67" s="17"/>
      <c r="S67" s="17"/>
      <c r="T67" s="17"/>
    </row>
    <row r="68" spans="2:20" s="6" customFormat="1" x14ac:dyDescent="0.2">
      <c r="B68" s="84"/>
      <c r="C68" s="84"/>
      <c r="D68" s="84"/>
      <c r="E68" s="84"/>
      <c r="F68" s="84"/>
      <c r="G68" s="84"/>
      <c r="H68" s="84"/>
      <c r="I68" s="17"/>
      <c r="J68" s="17"/>
      <c r="K68" s="17"/>
      <c r="L68" s="92" t="s">
        <v>40</v>
      </c>
      <c r="M68" s="93">
        <v>0.3</v>
      </c>
      <c r="N68" s="17"/>
      <c r="O68" s="17"/>
      <c r="P68" s="17"/>
      <c r="Q68" s="17"/>
      <c r="R68" s="17"/>
      <c r="S68" s="17"/>
      <c r="T68" s="17"/>
    </row>
    <row r="69" spans="2:20" s="6" customFormat="1" x14ac:dyDescent="0.2">
      <c r="B69" s="84"/>
      <c r="C69" s="84"/>
      <c r="D69" s="84"/>
      <c r="E69" s="84"/>
      <c r="F69" s="84"/>
      <c r="G69" s="84"/>
      <c r="H69" s="84"/>
      <c r="I69" s="17"/>
      <c r="J69" s="17"/>
      <c r="K69" s="17"/>
      <c r="L69" s="92" t="s">
        <v>41</v>
      </c>
      <c r="M69" s="93">
        <v>0.05</v>
      </c>
      <c r="N69" s="17"/>
      <c r="O69" s="17"/>
      <c r="P69" s="17"/>
      <c r="Q69" s="17"/>
      <c r="R69" s="17"/>
      <c r="S69" s="17"/>
      <c r="T69" s="17"/>
    </row>
    <row r="70" spans="2:20" s="6" customFormat="1" x14ac:dyDescent="0.2">
      <c r="B70" s="84"/>
      <c r="C70" s="84"/>
      <c r="D70" s="84"/>
      <c r="E70" s="84"/>
      <c r="F70" s="84"/>
      <c r="G70" s="84"/>
      <c r="H70" s="84"/>
      <c r="I70" s="17"/>
      <c r="J70" s="17"/>
      <c r="K70" s="17"/>
      <c r="L70" s="92" t="s">
        <v>42</v>
      </c>
      <c r="M70" s="93">
        <v>0.5</v>
      </c>
      <c r="N70" s="17"/>
      <c r="O70" s="17"/>
      <c r="P70" s="17"/>
      <c r="Q70" s="17"/>
      <c r="R70" s="17"/>
    </row>
    <row r="71" spans="2:20" s="6" customFormat="1" x14ac:dyDescent="0.2">
      <c r="B71" s="84"/>
      <c r="C71" s="84"/>
      <c r="D71" s="84"/>
      <c r="E71" s="84"/>
      <c r="F71" s="84"/>
      <c r="G71" s="84"/>
      <c r="H71" s="84"/>
      <c r="I71" s="17"/>
      <c r="J71" s="17"/>
      <c r="K71" s="17"/>
      <c r="L71" s="92" t="s">
        <v>20</v>
      </c>
      <c r="M71" s="93">
        <v>0.1</v>
      </c>
      <c r="N71" s="17"/>
      <c r="O71" s="17"/>
      <c r="P71" s="17"/>
      <c r="Q71" s="17"/>
      <c r="R71" s="17"/>
    </row>
    <row r="72" spans="2:20" s="6" customFormat="1" x14ac:dyDescent="0.2">
      <c r="B72" s="84"/>
      <c r="C72" s="84"/>
      <c r="D72" s="84"/>
      <c r="E72" s="84"/>
      <c r="F72" s="84"/>
      <c r="G72" s="84"/>
      <c r="H72" s="84"/>
      <c r="I72" s="17"/>
      <c r="J72" s="17"/>
      <c r="K72" s="17"/>
      <c r="L72" s="92" t="s">
        <v>21</v>
      </c>
      <c r="M72" s="93">
        <v>0</v>
      </c>
      <c r="N72" s="17"/>
      <c r="O72" s="17"/>
      <c r="P72" s="17"/>
      <c r="Q72" s="17"/>
      <c r="R72" s="17"/>
    </row>
    <row r="73" spans="2:20" s="6" customFormat="1" x14ac:dyDescent="0.2">
      <c r="B73" s="84"/>
      <c r="C73" s="84"/>
      <c r="D73" s="84"/>
      <c r="E73" s="84"/>
      <c r="F73" s="84"/>
      <c r="G73" s="84"/>
      <c r="H73" s="84"/>
      <c r="I73" s="17"/>
      <c r="J73" s="17"/>
      <c r="K73" s="17"/>
      <c r="L73" s="92" t="s">
        <v>22</v>
      </c>
      <c r="M73" s="17">
        <f>2</f>
        <v>2</v>
      </c>
      <c r="N73" s="17"/>
      <c r="O73" s="17"/>
      <c r="P73" s="17"/>
      <c r="Q73" s="17"/>
      <c r="R73" s="17"/>
    </row>
    <row r="74" spans="2:20" s="6" customFormat="1" x14ac:dyDescent="0.2">
      <c r="B74" s="84"/>
      <c r="C74" s="84"/>
      <c r="D74" s="84"/>
      <c r="E74" s="84"/>
      <c r="F74" s="84"/>
      <c r="G74" s="84"/>
      <c r="H74" s="84"/>
      <c r="I74" s="17"/>
      <c r="J74" s="17"/>
      <c r="K74" s="17"/>
      <c r="L74" s="92" t="s">
        <v>23</v>
      </c>
      <c r="M74" s="17">
        <f>90/365.25</f>
        <v>0.24640657084188911</v>
      </c>
      <c r="N74" s="17"/>
      <c r="O74" s="17"/>
      <c r="P74" s="17"/>
      <c r="Q74" s="17"/>
      <c r="R74" s="17"/>
    </row>
    <row r="75" spans="2:20" s="6" customFormat="1" x14ac:dyDescent="0.2">
      <c r="B75" s="84"/>
      <c r="C75" s="84"/>
      <c r="D75" s="84"/>
      <c r="E75" s="84"/>
      <c r="F75" s="84"/>
      <c r="G75" s="84"/>
      <c r="H75" s="84"/>
      <c r="I75" s="17"/>
      <c r="J75" s="17"/>
      <c r="K75" s="92"/>
      <c r="L75" s="92" t="s">
        <v>24</v>
      </c>
      <c r="M75" s="17">
        <v>10</v>
      </c>
      <c r="N75" s="17"/>
      <c r="O75" s="17"/>
      <c r="P75" s="17"/>
      <c r="Q75" s="17"/>
      <c r="R75" s="17"/>
    </row>
    <row r="76" spans="2:20" s="6" customFormat="1" x14ac:dyDescent="0.2">
      <c r="B76" s="84"/>
      <c r="C76" s="84"/>
      <c r="D76" s="84"/>
      <c r="E76" s="84"/>
      <c r="F76" s="84"/>
      <c r="G76" s="84"/>
      <c r="H76" s="84"/>
      <c r="I76" s="17"/>
      <c r="J76" s="17"/>
      <c r="K76" s="17"/>
      <c r="L76" s="92" t="s">
        <v>28</v>
      </c>
      <c r="M76" s="17">
        <v>1000</v>
      </c>
      <c r="N76" s="17"/>
      <c r="O76" s="17"/>
      <c r="P76" s="17"/>
      <c r="Q76" s="17"/>
      <c r="R76" s="17"/>
    </row>
    <row r="77" spans="2:20" s="6" customFormat="1" x14ac:dyDescent="0.2">
      <c r="B77" s="84"/>
      <c r="C77" s="84"/>
      <c r="D77" s="84"/>
      <c r="E77" s="84"/>
      <c r="F77" s="84"/>
      <c r="G77" s="84"/>
      <c r="H77" s="84"/>
      <c r="I77" s="17"/>
      <c r="J77" s="17"/>
      <c r="K77" s="17"/>
      <c r="L77" s="92" t="s">
        <v>29</v>
      </c>
      <c r="M77" s="17">
        <f>90/365.25</f>
        <v>0.24640657084188911</v>
      </c>
      <c r="N77" s="17"/>
      <c r="O77" s="84"/>
      <c r="P77" s="84"/>
      <c r="Q77" s="17"/>
      <c r="R77" s="17"/>
    </row>
    <row r="78" spans="2:20" s="6" customFormat="1" x14ac:dyDescent="0.2">
      <c r="B78" s="84"/>
      <c r="C78" s="84"/>
      <c r="D78" s="84"/>
      <c r="E78" s="84"/>
      <c r="F78" s="84"/>
      <c r="G78" s="84"/>
      <c r="H78" s="84"/>
      <c r="I78" s="17"/>
      <c r="J78" s="17"/>
      <c r="K78" s="17"/>
      <c r="L78" s="92" t="s">
        <v>30</v>
      </c>
      <c r="M78" s="17">
        <v>2</v>
      </c>
      <c r="N78" s="17"/>
      <c r="O78" s="84"/>
      <c r="P78" s="84"/>
      <c r="Q78" s="17"/>
      <c r="R78" s="17"/>
    </row>
    <row r="79" spans="2:20" s="6" customFormat="1" x14ac:dyDescent="0.2">
      <c r="B79" s="84"/>
      <c r="C79" s="84"/>
      <c r="D79" s="84"/>
      <c r="E79" s="84"/>
      <c r="F79" s="84"/>
      <c r="G79" s="84"/>
      <c r="H79" s="84"/>
      <c r="I79" s="17"/>
      <c r="J79" s="17"/>
      <c r="K79" s="17"/>
      <c r="L79" s="92" t="s">
        <v>31</v>
      </c>
      <c r="M79" s="93">
        <v>0.02</v>
      </c>
      <c r="N79" s="17"/>
      <c r="O79" s="84"/>
      <c r="P79" s="84"/>
      <c r="Q79" s="17"/>
      <c r="R79" s="17"/>
    </row>
    <row r="80" spans="2:20" s="6" customFormat="1" x14ac:dyDescent="0.2">
      <c r="B80" s="84"/>
      <c r="C80" s="84"/>
      <c r="D80" s="84"/>
      <c r="E80" s="84"/>
      <c r="F80" s="84"/>
      <c r="G80" s="84"/>
      <c r="H80" s="84"/>
      <c r="I80" s="17"/>
      <c r="J80" s="17"/>
      <c r="K80" s="17"/>
      <c r="L80" s="17" t="s">
        <v>32</v>
      </c>
      <c r="M80" s="17">
        <f>NORMINV(1-M79,0,1)</f>
        <v>2.0537489106318221</v>
      </c>
      <c r="N80" s="17"/>
      <c r="O80" s="84"/>
      <c r="P80" s="84"/>
      <c r="Q80" s="17"/>
      <c r="R80" s="17"/>
    </row>
    <row r="81" spans="2:18" s="6" customFormat="1" x14ac:dyDescent="0.2">
      <c r="B81" s="84"/>
      <c r="C81" s="84"/>
      <c r="D81" s="84"/>
      <c r="E81" s="84"/>
      <c r="F81" s="84"/>
      <c r="G81" s="84"/>
      <c r="H81" s="84"/>
      <c r="I81" s="17"/>
      <c r="J81" s="17"/>
      <c r="K81" s="17"/>
      <c r="L81" s="17"/>
      <c r="M81" s="17"/>
      <c r="N81" s="17"/>
      <c r="O81" s="84"/>
      <c r="P81" s="84"/>
      <c r="Q81" s="17"/>
      <c r="R81" s="17"/>
    </row>
    <row r="82" spans="2:18" s="6" customFormat="1" x14ac:dyDescent="0.2">
      <c r="B82" s="84"/>
      <c r="C82" s="84"/>
      <c r="D82" s="84"/>
      <c r="E82" s="84"/>
      <c r="F82" s="84"/>
      <c r="G82" s="84"/>
      <c r="H82" s="84"/>
      <c r="I82" s="17"/>
      <c r="J82" s="17"/>
      <c r="K82" s="17"/>
      <c r="L82" s="17"/>
      <c r="M82" s="17"/>
      <c r="N82" s="17"/>
      <c r="O82" s="84"/>
      <c r="P82" s="84"/>
      <c r="Q82" s="17"/>
      <c r="R82" s="17"/>
    </row>
    <row r="83" spans="2:18" s="6" customFormat="1" x14ac:dyDescent="0.2">
      <c r="B83" s="84"/>
      <c r="C83" s="84"/>
      <c r="D83" s="84"/>
      <c r="E83" s="84"/>
      <c r="F83" s="84"/>
      <c r="G83" s="84"/>
      <c r="H83" s="84"/>
      <c r="I83" s="17"/>
      <c r="J83" s="17"/>
      <c r="K83" s="84"/>
      <c r="L83" s="84"/>
      <c r="M83" s="84"/>
      <c r="N83" s="84"/>
      <c r="O83" s="84"/>
      <c r="P83" s="84"/>
      <c r="Q83" s="17"/>
      <c r="R83" s="17"/>
    </row>
    <row r="84" spans="2:18" s="6" customFormat="1" x14ac:dyDescent="0.2">
      <c r="B84" s="84"/>
      <c r="C84" s="84"/>
      <c r="D84" s="84"/>
      <c r="E84" s="84"/>
      <c r="F84" s="84"/>
      <c r="G84" s="84"/>
      <c r="H84" s="84"/>
      <c r="I84" s="84"/>
      <c r="J84" s="84"/>
      <c r="K84" s="84"/>
      <c r="L84" s="84"/>
      <c r="M84" s="84"/>
      <c r="N84" s="84"/>
      <c r="O84" s="84"/>
      <c r="P84" s="84"/>
      <c r="Q84" s="84"/>
      <c r="R84" s="84"/>
    </row>
    <row r="85" spans="2:18" s="6" customFormat="1" x14ac:dyDescent="0.2">
      <c r="B85" s="84"/>
      <c r="C85" s="84"/>
      <c r="D85" s="84"/>
      <c r="E85" s="84"/>
      <c r="F85" s="84"/>
      <c r="G85" s="84"/>
      <c r="H85" s="84"/>
      <c r="I85" s="84"/>
      <c r="J85" s="84"/>
      <c r="K85" s="84"/>
      <c r="L85" s="84"/>
      <c r="M85" s="84"/>
      <c r="N85" s="84"/>
      <c r="O85" s="84"/>
      <c r="P85" s="84"/>
      <c r="Q85" s="84"/>
      <c r="R85" s="84"/>
    </row>
    <row r="86" spans="2:18" s="6" customFormat="1" x14ac:dyDescent="0.2"/>
    <row r="87" spans="2:18" s="6" customFormat="1" x14ac:dyDescent="0.2"/>
    <row r="88" spans="2:18" s="6" customFormat="1" x14ac:dyDescent="0.2"/>
    <row r="89" spans="2:18" s="6" customFormat="1" x14ac:dyDescent="0.2"/>
    <row r="90" spans="2:18" s="6" customFormat="1" x14ac:dyDescent="0.2"/>
    <row r="91" spans="2:18" s="6" customFormat="1" x14ac:dyDescent="0.2"/>
    <row r="92" spans="2:18" s="6" customFormat="1" x14ac:dyDescent="0.2"/>
    <row r="93" spans="2:18" s="6" customFormat="1" x14ac:dyDescent="0.2"/>
    <row r="94" spans="2:18" s="6" customFormat="1" x14ac:dyDescent="0.2"/>
    <row r="95" spans="2:18" s="6" customFormat="1" x14ac:dyDescent="0.2"/>
    <row r="96" spans="2:18" s="6" customFormat="1" x14ac:dyDescent="0.2"/>
    <row r="97" s="6" customFormat="1" x14ac:dyDescent="0.2"/>
    <row r="98" s="6" customFormat="1" x14ac:dyDescent="0.2"/>
    <row r="99" s="6" customFormat="1" x14ac:dyDescent="0.2"/>
    <row r="100" s="6" customFormat="1" x14ac:dyDescent="0.2"/>
    <row r="101" s="6" customFormat="1" x14ac:dyDescent="0.2"/>
    <row r="102" s="6" customFormat="1" x14ac:dyDescent="0.2"/>
    <row r="103" s="6" customFormat="1" x14ac:dyDescent="0.2"/>
    <row r="104" s="6" customFormat="1" x14ac:dyDescent="0.2"/>
    <row r="105" s="6" customFormat="1" x14ac:dyDescent="0.2"/>
    <row r="106" s="6" customFormat="1" x14ac:dyDescent="0.2"/>
    <row r="107" s="6" customFormat="1" x14ac:dyDescent="0.2"/>
    <row r="108" s="6" customFormat="1" x14ac:dyDescent="0.2"/>
    <row r="109" s="6" customFormat="1" x14ac:dyDescent="0.2"/>
    <row r="110" s="6" customFormat="1" x14ac:dyDescent="0.2"/>
    <row r="111" s="6" customFormat="1" x14ac:dyDescent="0.2"/>
    <row r="112" s="6" customFormat="1" x14ac:dyDescent="0.2"/>
    <row r="113" spans="8:25" s="6" customFormat="1" x14ac:dyDescent="0.2"/>
    <row r="114" spans="8:25" s="6" customFormat="1" x14ac:dyDescent="0.2"/>
    <row r="115" spans="8:25" x14ac:dyDescent="0.2">
      <c r="H115" s="18"/>
      <c r="I115" s="18"/>
      <c r="J115" s="18"/>
      <c r="K115" s="18"/>
      <c r="L115" s="18"/>
      <c r="M115" s="18"/>
      <c r="N115" s="18"/>
      <c r="O115" s="18"/>
      <c r="P115" s="18"/>
      <c r="Q115" s="18"/>
      <c r="R115" s="18"/>
      <c r="S115" s="18"/>
      <c r="T115" s="18"/>
      <c r="U115" s="18"/>
      <c r="V115" s="18"/>
      <c r="W115" s="18"/>
      <c r="X115" s="18"/>
      <c r="Y115" s="18"/>
    </row>
    <row r="116" spans="8:25" x14ac:dyDescent="0.2">
      <c r="H116" s="18"/>
      <c r="I116" s="18"/>
      <c r="J116" s="18"/>
      <c r="K116" s="18"/>
      <c r="L116" s="18"/>
      <c r="M116" s="18"/>
      <c r="N116" s="18"/>
      <c r="O116" s="18"/>
      <c r="P116" s="18"/>
      <c r="Q116" s="18"/>
      <c r="R116" s="18"/>
      <c r="S116" s="18"/>
      <c r="T116" s="18"/>
      <c r="U116" s="18"/>
      <c r="V116" s="18"/>
      <c r="W116" s="18"/>
      <c r="X116" s="18"/>
      <c r="Y116" s="18"/>
    </row>
  </sheetData>
  <sheetProtection sheet="1" objects="1" scenarios="1" selectLockedCells="1"/>
  <mergeCells count="3">
    <mergeCell ref="E2:G2"/>
    <mergeCell ref="J2:K2"/>
    <mergeCell ref="K3:K6"/>
  </mergeCells>
  <phoneticPr fontId="4" type="noConversion"/>
  <conditionalFormatting sqref="J11">
    <cfRule type="expression" dxfId="25" priority="50">
      <formula>ISNUMBER(FIND("Err",K11))</formula>
    </cfRule>
    <cfRule type="expression" dxfId="24" priority="51">
      <formula>ISNUMBER(FIND("W",K11))</formula>
    </cfRule>
  </conditionalFormatting>
  <conditionalFormatting sqref="J48 J35:J36">
    <cfRule type="expression" dxfId="23" priority="49">
      <formula>ISNUMBER(FIND("W",K35))</formula>
    </cfRule>
  </conditionalFormatting>
  <conditionalFormatting sqref="J22">
    <cfRule type="expression" dxfId="22" priority="44">
      <formula>ISNUMBER(FIND("Err",K22))</formula>
    </cfRule>
  </conditionalFormatting>
  <conditionalFormatting sqref="J39">
    <cfRule type="expression" dxfId="21" priority="38">
      <formula>ISNUMBER(FIND("W",K39))</formula>
    </cfRule>
  </conditionalFormatting>
  <conditionalFormatting sqref="J15">
    <cfRule type="expression" dxfId="20" priority="53">
      <formula>ISNUMBER(FIND("Err",K15))</formula>
    </cfRule>
  </conditionalFormatting>
  <conditionalFormatting sqref="J16">
    <cfRule type="expression" dxfId="19" priority="33">
      <formula>ISNUMBER(FIND("W",K16))</formula>
    </cfRule>
  </conditionalFormatting>
  <conditionalFormatting sqref="J32">
    <cfRule type="expression" dxfId="18" priority="32">
      <formula>ISNUMBER(FIND("Err",K32))</formula>
    </cfRule>
  </conditionalFormatting>
  <conditionalFormatting sqref="J28">
    <cfRule type="expression" dxfId="17" priority="29">
      <formula>ISNUMBER(FIND("W",K28))</formula>
    </cfRule>
    <cfRule type="expression" dxfId="16" priority="30">
      <formula>ISNUMBER(FIND("Err",K28))</formula>
    </cfRule>
  </conditionalFormatting>
  <conditionalFormatting sqref="J29">
    <cfRule type="expression" dxfId="15" priority="27">
      <formula>ISNUMBER(FIND("W",K29))</formula>
    </cfRule>
    <cfRule type="expression" dxfId="14" priority="28">
      <formula>ISNUMBER(FIND("Err",K29))</formula>
    </cfRule>
  </conditionalFormatting>
  <conditionalFormatting sqref="J25">
    <cfRule type="expression" dxfId="13" priority="23">
      <formula>ISNUMBER(FIND("W",K25))</formula>
    </cfRule>
    <cfRule type="expression" dxfId="12" priority="24">
      <formula>ISNUMBER(FIND("Err",K25))</formula>
    </cfRule>
  </conditionalFormatting>
  <conditionalFormatting sqref="J8">
    <cfRule type="expression" dxfId="11" priority="21">
      <formula>ISNUMBER(FIND("W",K8))</formula>
    </cfRule>
    <cfRule type="expression" dxfId="10" priority="22">
      <formula>ISNUMBER(FIND("E",K8))</formula>
    </cfRule>
  </conditionalFormatting>
  <conditionalFormatting sqref="J12">
    <cfRule type="expression" dxfId="9" priority="17">
      <formula>ISNUMBER(FIND("Err",K12))</formula>
    </cfRule>
    <cfRule type="expression" dxfId="8" priority="18">
      <formula>ISNUMBER(FIND("W",K12))</formula>
    </cfRule>
  </conditionalFormatting>
  <conditionalFormatting sqref="J13">
    <cfRule type="expression" dxfId="7" priority="13">
      <formula>ISNUMBER(FIND("Err",K13))</formula>
    </cfRule>
    <cfRule type="expression" dxfId="6" priority="14">
      <formula>ISNUMBER(FIND("W",K13))</formula>
    </cfRule>
  </conditionalFormatting>
  <conditionalFormatting sqref="J14">
    <cfRule type="expression" dxfId="5" priority="9">
      <formula>ISNUMBER(FIND("Err",K14))</formula>
    </cfRule>
    <cfRule type="expression" dxfId="4" priority="10">
      <formula>ISNUMBER(FIND("W",K14))</formula>
    </cfRule>
  </conditionalFormatting>
  <conditionalFormatting sqref="J17">
    <cfRule type="expression" dxfId="3" priority="5">
      <formula>ISNUMBER(FIND("Err",K17))</formula>
    </cfRule>
    <cfRule type="expression" dxfId="2" priority="6">
      <formula>ISNUMBER(FIND("W",K17))</formula>
    </cfRule>
  </conditionalFormatting>
  <conditionalFormatting sqref="J18">
    <cfRule type="expression" dxfId="1" priority="1">
      <formula>ISNUMBER(FIND("Err",K18))</formula>
    </cfRule>
    <cfRule type="expression" dxfId="0" priority="2">
      <formula>ISNUMBER(FIND("W",K18))</formula>
    </cfRule>
  </conditionalFormatting>
  <pageMargins left="0.75" right="0.75" top="1" bottom="1" header="0.5" footer="0.5"/>
  <pageSetup paperSize="9" scale="13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IV143"/>
  <sheetViews>
    <sheetView showGridLines="0" zoomScaleNormal="100" workbookViewId="0">
      <selection activeCell="D9" sqref="D9"/>
    </sheetView>
  </sheetViews>
  <sheetFormatPr baseColWidth="10" defaultColWidth="9.140625" defaultRowHeight="12.75" x14ac:dyDescent="0.2"/>
  <cols>
    <col min="1" max="1" width="2.28515625" style="5" customWidth="1"/>
    <col min="2" max="2" width="61.5703125" style="5" customWidth="1"/>
    <col min="3" max="3" width="2.5703125" style="5" customWidth="1"/>
    <col min="4" max="4" width="9.140625" style="5" customWidth="1"/>
    <col min="5" max="6" width="9.140625" style="5"/>
    <col min="7" max="7" width="9.140625" style="5" customWidth="1"/>
    <col min="8" max="8" width="9.140625" style="5"/>
    <col min="9" max="13" width="9.140625" style="5" customWidth="1"/>
    <col min="14" max="15" width="9.140625" style="5"/>
    <col min="16" max="16" width="9.140625" style="5" customWidth="1"/>
    <col min="17" max="36" width="9.140625" style="5"/>
    <col min="37" max="45" width="9.140625" style="5" customWidth="1"/>
    <col min="46" max="53" width="9" style="5" customWidth="1"/>
    <col min="54" max="16384" width="9.140625" style="5"/>
  </cols>
  <sheetData>
    <row r="2" spans="1:56" ht="20.25" x14ac:dyDescent="0.3">
      <c r="B2" s="22" t="s">
        <v>26</v>
      </c>
      <c r="D2" s="184" t="s">
        <v>67</v>
      </c>
      <c r="E2" s="184"/>
      <c r="F2" s="34" t="s">
        <v>3</v>
      </c>
      <c r="G2" s="180" t="s">
        <v>43</v>
      </c>
      <c r="H2" s="185"/>
      <c r="I2" s="35" t="s">
        <v>4</v>
      </c>
      <c r="J2" s="3"/>
      <c r="K2" s="3" t="s">
        <v>61</v>
      </c>
      <c r="L2" s="3"/>
      <c r="M2" s="3"/>
      <c r="N2" s="3"/>
      <c r="O2" s="3"/>
      <c r="P2" s="3"/>
      <c r="Q2" s="3"/>
      <c r="R2" s="3"/>
    </row>
    <row r="3" spans="1:56" ht="18" customHeight="1" x14ac:dyDescent="0.2">
      <c r="B3" s="16" t="s">
        <v>89</v>
      </c>
      <c r="E3" s="6"/>
      <c r="F3" s="6"/>
      <c r="G3" s="6"/>
      <c r="H3" s="6"/>
      <c r="I3" s="6"/>
      <c r="J3" s="3"/>
      <c r="K3" s="3"/>
      <c r="L3" s="3"/>
      <c r="M3" s="3"/>
      <c r="N3" s="3"/>
      <c r="O3" s="3"/>
      <c r="P3" s="3"/>
      <c r="Q3" s="3"/>
      <c r="R3" s="3"/>
      <c r="S3" s="6"/>
      <c r="T3" s="6"/>
      <c r="U3" s="6"/>
      <c r="V3" s="6"/>
      <c r="W3" s="6"/>
    </row>
    <row r="4" spans="1:56" ht="12.75" customHeight="1" x14ac:dyDescent="0.2">
      <c r="B4" s="134" t="s">
        <v>90</v>
      </c>
      <c r="E4" s="6"/>
      <c r="F4" s="6"/>
      <c r="G4" s="6"/>
      <c r="H4" s="6"/>
      <c r="I4" s="6"/>
      <c r="J4" s="3"/>
      <c r="K4" s="3"/>
      <c r="L4" s="3"/>
      <c r="M4" s="3"/>
      <c r="N4" s="3"/>
      <c r="O4" s="3"/>
      <c r="P4" s="3"/>
      <c r="Q4" s="3"/>
      <c r="R4" s="3"/>
      <c r="S4" s="6"/>
      <c r="T4" s="6"/>
      <c r="U4" s="6"/>
      <c r="V4" s="6"/>
      <c r="W4" s="6"/>
    </row>
    <row r="5" spans="1:56" ht="15" customHeight="1" x14ac:dyDescent="0.2">
      <c r="B5" s="84" t="s">
        <v>88</v>
      </c>
      <c r="E5" s="6"/>
      <c r="F5" s="6"/>
      <c r="G5" s="6"/>
      <c r="H5" s="6"/>
      <c r="I5" s="6"/>
      <c r="J5" s="3"/>
      <c r="K5" s="3"/>
      <c r="L5" s="3"/>
      <c r="M5" s="3"/>
      <c r="N5" s="3"/>
      <c r="O5" s="3"/>
      <c r="P5" s="3"/>
      <c r="Q5" s="3"/>
      <c r="R5" s="3"/>
      <c r="S5" s="6"/>
      <c r="T5" s="6"/>
      <c r="U5" s="6"/>
      <c r="V5" s="6"/>
      <c r="W5" s="6"/>
    </row>
    <row r="6" spans="1:56" x14ac:dyDescent="0.2">
      <c r="E6" s="6"/>
      <c r="F6" s="6"/>
      <c r="G6" s="6"/>
      <c r="H6" s="6"/>
      <c r="I6" s="6"/>
      <c r="J6" s="3"/>
      <c r="K6" s="3"/>
      <c r="L6" s="3"/>
      <c r="M6" s="3"/>
      <c r="N6" s="3"/>
      <c r="O6" s="3"/>
      <c r="P6" s="3"/>
      <c r="Q6" s="3"/>
      <c r="R6" s="3"/>
      <c r="S6" s="6"/>
      <c r="T6" s="6"/>
      <c r="U6" s="6"/>
      <c r="V6" s="6"/>
      <c r="W6" s="6"/>
    </row>
    <row r="7" spans="1:56" x14ac:dyDescent="0.2">
      <c r="D7" s="63">
        <v>1</v>
      </c>
      <c r="E7" s="71">
        <v>2</v>
      </c>
      <c r="F7" s="72">
        <v>3</v>
      </c>
      <c r="G7" s="73">
        <v>4</v>
      </c>
      <c r="H7" s="72">
        <v>5</v>
      </c>
      <c r="I7" s="71">
        <v>6</v>
      </c>
      <c r="J7" s="52">
        <v>7</v>
      </c>
      <c r="K7" s="71">
        <v>8</v>
      </c>
      <c r="L7" s="72">
        <v>9</v>
      </c>
      <c r="M7" s="73">
        <v>10</v>
      </c>
      <c r="N7" s="72">
        <v>11</v>
      </c>
      <c r="O7" s="71">
        <v>12</v>
      </c>
      <c r="P7" s="52">
        <v>13</v>
      </c>
      <c r="Q7" s="71">
        <v>14</v>
      </c>
      <c r="R7" s="72">
        <v>15</v>
      </c>
      <c r="S7" s="73">
        <v>16</v>
      </c>
      <c r="T7" s="72">
        <v>17</v>
      </c>
      <c r="U7" s="71">
        <v>18</v>
      </c>
      <c r="V7" s="52">
        <v>19</v>
      </c>
      <c r="W7" s="71">
        <v>20</v>
      </c>
      <c r="X7" s="72">
        <v>21</v>
      </c>
      <c r="Y7" s="73">
        <v>22</v>
      </c>
      <c r="Z7" s="72">
        <v>23</v>
      </c>
      <c r="AA7" s="71">
        <v>24</v>
      </c>
      <c r="AB7" s="52">
        <v>25</v>
      </c>
      <c r="AC7" s="71">
        <v>26</v>
      </c>
      <c r="AD7" s="72">
        <v>27</v>
      </c>
      <c r="AE7" s="73">
        <v>28</v>
      </c>
      <c r="AF7" s="72">
        <v>29</v>
      </c>
      <c r="AG7" s="71">
        <v>30</v>
      </c>
      <c r="AH7" s="52">
        <v>31</v>
      </c>
      <c r="AI7" s="71">
        <v>32</v>
      </c>
      <c r="AJ7" s="72">
        <v>33</v>
      </c>
      <c r="AK7" s="73">
        <v>34</v>
      </c>
      <c r="AL7" s="72">
        <v>35</v>
      </c>
      <c r="AM7" s="71">
        <v>36</v>
      </c>
      <c r="AN7" s="52">
        <v>37</v>
      </c>
      <c r="AO7" s="71">
        <v>38</v>
      </c>
      <c r="AP7" s="72">
        <v>39</v>
      </c>
      <c r="AQ7" s="73">
        <v>40</v>
      </c>
      <c r="AR7" s="72">
        <v>41</v>
      </c>
      <c r="AS7" s="71">
        <v>42</v>
      </c>
      <c r="AT7" s="52">
        <v>43</v>
      </c>
      <c r="AU7" s="71">
        <v>44</v>
      </c>
      <c r="AV7" s="72">
        <v>45</v>
      </c>
      <c r="AW7" s="73">
        <v>46</v>
      </c>
      <c r="AX7" s="72">
        <v>47</v>
      </c>
      <c r="AY7" s="71">
        <v>48</v>
      </c>
      <c r="AZ7" s="52">
        <v>49</v>
      </c>
      <c r="BA7" s="77">
        <v>50</v>
      </c>
    </row>
    <row r="8" spans="1:56" ht="15.75" x14ac:dyDescent="0.25">
      <c r="B8" s="4" t="s">
        <v>65</v>
      </c>
      <c r="D8" s="43"/>
      <c r="E8" s="65"/>
      <c r="F8" s="44"/>
      <c r="G8" s="74"/>
      <c r="H8" s="44"/>
      <c r="I8" s="65"/>
      <c r="J8" s="43"/>
      <c r="K8" s="65"/>
      <c r="L8" s="44"/>
      <c r="M8" s="74"/>
      <c r="N8" s="44"/>
      <c r="O8" s="65"/>
      <c r="P8" s="43"/>
      <c r="Q8" s="65"/>
      <c r="R8" s="44"/>
      <c r="S8" s="74"/>
      <c r="T8" s="44"/>
      <c r="U8" s="65"/>
      <c r="V8" s="43"/>
      <c r="W8" s="65"/>
      <c r="X8" s="44"/>
      <c r="Y8" s="74"/>
      <c r="Z8" s="44"/>
      <c r="AA8" s="65"/>
      <c r="AB8" s="43"/>
      <c r="AC8" s="65"/>
      <c r="AD8" s="44"/>
      <c r="AE8" s="74"/>
      <c r="AF8" s="44"/>
      <c r="AG8" s="65"/>
      <c r="AH8" s="43"/>
      <c r="AI8" s="65"/>
      <c r="AJ8" s="44"/>
      <c r="AK8" s="74"/>
      <c r="AL8" s="44"/>
      <c r="AM8" s="65"/>
      <c r="AN8" s="43"/>
      <c r="AO8" s="65"/>
      <c r="AP8" s="44"/>
      <c r="AQ8" s="74"/>
      <c r="AR8" s="44"/>
      <c r="AS8" s="65"/>
      <c r="AT8" s="43"/>
      <c r="AU8" s="65"/>
      <c r="AV8" s="44"/>
      <c r="AW8" s="74"/>
      <c r="AX8" s="44"/>
      <c r="AY8" s="65"/>
      <c r="AZ8" s="43"/>
      <c r="BA8" s="78"/>
    </row>
    <row r="9" spans="1:56" x14ac:dyDescent="0.2">
      <c r="B9" s="84" t="s">
        <v>66</v>
      </c>
      <c r="D9" s="114">
        <v>0.1</v>
      </c>
      <c r="E9" s="115">
        <v>0.2</v>
      </c>
      <c r="F9" s="114">
        <v>0.3</v>
      </c>
      <c r="G9" s="116">
        <v>0.4</v>
      </c>
      <c r="H9" s="114">
        <v>0.5</v>
      </c>
      <c r="I9" s="116">
        <v>0.6</v>
      </c>
      <c r="J9" s="114">
        <v>0.7</v>
      </c>
      <c r="K9" s="116">
        <v>0.8</v>
      </c>
      <c r="L9" s="114">
        <v>0.9</v>
      </c>
      <c r="M9" s="116">
        <v>1</v>
      </c>
      <c r="N9" s="114">
        <v>1.1000000000000001</v>
      </c>
      <c r="O9" s="116">
        <v>1.2</v>
      </c>
      <c r="P9" s="114">
        <v>1.3</v>
      </c>
      <c r="Q9" s="116">
        <v>1.4</v>
      </c>
      <c r="R9" s="114">
        <v>1.5</v>
      </c>
      <c r="S9" s="116">
        <v>1.6</v>
      </c>
      <c r="T9" s="114">
        <v>1.7</v>
      </c>
      <c r="U9" s="116">
        <v>1.8</v>
      </c>
      <c r="V9" s="114">
        <v>1.9</v>
      </c>
      <c r="W9" s="116">
        <v>2</v>
      </c>
      <c r="X9" s="114">
        <v>2.1</v>
      </c>
      <c r="Y9" s="116">
        <v>2.2000000000000002</v>
      </c>
      <c r="Z9" s="116">
        <v>2.2999999999999998</v>
      </c>
      <c r="AA9" s="114">
        <v>2.4</v>
      </c>
      <c r="AB9" s="116">
        <v>2.5</v>
      </c>
      <c r="AC9" s="114">
        <v>2.6</v>
      </c>
      <c r="AD9" s="116">
        <v>2.7</v>
      </c>
      <c r="AE9" s="114">
        <v>2.8</v>
      </c>
      <c r="AF9" s="116">
        <v>2.9</v>
      </c>
      <c r="AG9" s="114">
        <v>3</v>
      </c>
      <c r="AH9" s="116">
        <v>3.1</v>
      </c>
      <c r="AI9" s="114">
        <v>3.2</v>
      </c>
      <c r="AJ9" s="116">
        <v>3.3</v>
      </c>
      <c r="AK9" s="114">
        <v>3.4</v>
      </c>
      <c r="AL9" s="116">
        <v>3.5</v>
      </c>
      <c r="AM9" s="114">
        <v>3.6</v>
      </c>
      <c r="AN9" s="116">
        <v>3.7</v>
      </c>
      <c r="AO9" s="114">
        <v>3.8</v>
      </c>
      <c r="AP9" s="116">
        <v>3.9</v>
      </c>
      <c r="AQ9" s="114">
        <v>4</v>
      </c>
      <c r="AR9" s="116"/>
      <c r="AS9" s="114"/>
      <c r="AT9" s="116"/>
      <c r="AU9" s="114"/>
      <c r="AV9" s="116">
        <v>4.5</v>
      </c>
      <c r="AW9" s="114"/>
      <c r="AX9" s="116"/>
      <c r="AY9" s="114"/>
      <c r="AZ9" s="116"/>
      <c r="BA9" s="117"/>
    </row>
    <row r="10" spans="1:56" x14ac:dyDescent="0.2">
      <c r="B10" s="6"/>
      <c r="D10" s="26"/>
      <c r="E10" s="76"/>
      <c r="F10" s="26"/>
      <c r="G10" s="70"/>
      <c r="H10" s="26"/>
      <c r="I10" s="70"/>
      <c r="J10" s="26"/>
      <c r="K10" s="70"/>
      <c r="L10" s="26"/>
      <c r="M10" s="70"/>
      <c r="N10" s="26"/>
      <c r="O10" s="70"/>
      <c r="P10" s="26"/>
      <c r="Q10" s="70"/>
      <c r="R10" s="26"/>
      <c r="S10" s="70"/>
      <c r="T10" s="26"/>
      <c r="U10" s="70"/>
      <c r="V10" s="26"/>
      <c r="W10" s="70"/>
      <c r="X10" s="26"/>
      <c r="Y10" s="70"/>
      <c r="Z10" s="70"/>
      <c r="AA10" s="26"/>
      <c r="AB10" s="70"/>
      <c r="AC10" s="26"/>
      <c r="AD10" s="70"/>
      <c r="AE10" s="26"/>
      <c r="AF10" s="70"/>
      <c r="AG10" s="26"/>
      <c r="AH10" s="70"/>
      <c r="AI10" s="26"/>
      <c r="AJ10" s="70"/>
      <c r="AK10" s="26"/>
      <c r="AL10" s="70"/>
      <c r="AM10" s="26"/>
      <c r="AN10" s="70"/>
      <c r="AO10" s="26"/>
      <c r="AP10" s="70"/>
      <c r="AQ10" s="26"/>
      <c r="AR10" s="70"/>
      <c r="AS10" s="26"/>
      <c r="AT10" s="70"/>
      <c r="AU10" s="26"/>
      <c r="AV10" s="70"/>
      <c r="AW10" s="26"/>
      <c r="AX10" s="70"/>
      <c r="AY10" s="26"/>
      <c r="AZ10" s="70"/>
      <c r="BA10" s="28"/>
    </row>
    <row r="11" spans="1:56" s="1" customFormat="1" ht="15.75" x14ac:dyDescent="0.25">
      <c r="A11" s="5"/>
      <c r="B11" s="4" t="s">
        <v>33</v>
      </c>
      <c r="C11" s="5"/>
      <c r="D11" s="5"/>
      <c r="E11" s="76"/>
      <c r="F11" s="6"/>
      <c r="G11" s="76"/>
      <c r="H11" s="6"/>
      <c r="I11" s="76"/>
      <c r="J11" s="3"/>
      <c r="K11" s="75"/>
      <c r="L11" s="3"/>
      <c r="M11" s="75"/>
      <c r="N11" s="3"/>
      <c r="O11" s="75"/>
      <c r="P11" s="3"/>
      <c r="Q11" s="75"/>
      <c r="R11" s="3"/>
      <c r="S11" s="76"/>
      <c r="T11" s="6"/>
      <c r="U11" s="76"/>
      <c r="V11" s="6"/>
      <c r="W11" s="76"/>
      <c r="X11" s="5"/>
      <c r="Y11" s="70"/>
      <c r="Z11" s="70"/>
      <c r="AA11" s="5"/>
      <c r="AB11" s="70"/>
      <c r="AC11" s="5"/>
      <c r="AD11" s="70"/>
      <c r="AE11" s="5"/>
      <c r="AF11" s="70"/>
      <c r="AG11" s="5"/>
      <c r="AH11" s="70"/>
      <c r="AI11" s="5"/>
      <c r="AJ11" s="70"/>
      <c r="AK11" s="5"/>
      <c r="AL11" s="70"/>
      <c r="AM11" s="5"/>
      <c r="AN11" s="70"/>
      <c r="AO11" s="5"/>
      <c r="AP11" s="70"/>
      <c r="AQ11" s="5"/>
      <c r="AR11" s="70"/>
      <c r="AS11" s="5"/>
      <c r="AT11" s="70"/>
      <c r="AU11" s="5"/>
      <c r="AV11" s="70"/>
      <c r="AW11" s="5"/>
      <c r="AX11" s="70"/>
      <c r="AY11" s="5"/>
      <c r="AZ11" s="70"/>
      <c r="BA11" s="5"/>
    </row>
    <row r="12" spans="1:56" s="1" customFormat="1" x14ac:dyDescent="0.2">
      <c r="A12" s="5"/>
      <c r="B12" s="33" t="s">
        <v>49</v>
      </c>
      <c r="C12" s="5"/>
      <c r="D12" s="17">
        <f t="shared" ref="D12:AI12" si="0">D13/365.25</f>
        <v>1.998631074606434</v>
      </c>
      <c r="E12" s="67">
        <f t="shared" si="0"/>
        <v>1.998631074606434</v>
      </c>
      <c r="F12" s="17">
        <f t="shared" si="0"/>
        <v>1.998631074606434</v>
      </c>
      <c r="G12" s="67">
        <f t="shared" si="0"/>
        <v>1.998631074606434</v>
      </c>
      <c r="H12" s="17">
        <f t="shared" si="0"/>
        <v>1.998631074606434</v>
      </c>
      <c r="I12" s="67">
        <f t="shared" si="0"/>
        <v>1.998631074606434</v>
      </c>
      <c r="J12" s="17">
        <f t="shared" si="0"/>
        <v>1.998631074606434</v>
      </c>
      <c r="K12" s="67">
        <f t="shared" si="0"/>
        <v>1.998631074606434</v>
      </c>
      <c r="L12" s="17">
        <f t="shared" si="0"/>
        <v>1.998631074606434</v>
      </c>
      <c r="M12" s="67">
        <f t="shared" si="0"/>
        <v>1.998631074606434</v>
      </c>
      <c r="N12" s="17">
        <f t="shared" si="0"/>
        <v>1.998631074606434</v>
      </c>
      <c r="O12" s="67">
        <f t="shared" si="0"/>
        <v>1.998631074606434</v>
      </c>
      <c r="P12" s="17">
        <f t="shared" si="0"/>
        <v>1.998631074606434</v>
      </c>
      <c r="Q12" s="67">
        <f t="shared" si="0"/>
        <v>1.998631074606434</v>
      </c>
      <c r="R12" s="17">
        <f t="shared" si="0"/>
        <v>1.998631074606434</v>
      </c>
      <c r="S12" s="67">
        <f t="shared" si="0"/>
        <v>1.998631074606434</v>
      </c>
      <c r="T12" s="17">
        <f t="shared" si="0"/>
        <v>1.998631074606434</v>
      </c>
      <c r="U12" s="67">
        <f t="shared" si="0"/>
        <v>1.998631074606434</v>
      </c>
      <c r="V12" s="17">
        <f t="shared" si="0"/>
        <v>1.998631074606434</v>
      </c>
      <c r="W12" s="67">
        <f t="shared" si="0"/>
        <v>1.998631074606434</v>
      </c>
      <c r="X12" s="17">
        <f t="shared" si="0"/>
        <v>1.998631074606434</v>
      </c>
      <c r="Y12" s="67">
        <f t="shared" si="0"/>
        <v>1.998631074606434</v>
      </c>
      <c r="Z12" s="67">
        <f t="shared" si="0"/>
        <v>1.998631074606434</v>
      </c>
      <c r="AA12" s="17">
        <f t="shared" si="0"/>
        <v>1.998631074606434</v>
      </c>
      <c r="AB12" s="67">
        <f t="shared" si="0"/>
        <v>1.998631074606434</v>
      </c>
      <c r="AC12" s="17">
        <f t="shared" si="0"/>
        <v>1.998631074606434</v>
      </c>
      <c r="AD12" s="67">
        <f t="shared" si="0"/>
        <v>1.998631074606434</v>
      </c>
      <c r="AE12" s="17">
        <f t="shared" si="0"/>
        <v>1.998631074606434</v>
      </c>
      <c r="AF12" s="67">
        <f t="shared" si="0"/>
        <v>1.998631074606434</v>
      </c>
      <c r="AG12" s="17">
        <f t="shared" si="0"/>
        <v>1.998631074606434</v>
      </c>
      <c r="AH12" s="67">
        <f t="shared" si="0"/>
        <v>1.998631074606434</v>
      </c>
      <c r="AI12" s="17">
        <f t="shared" si="0"/>
        <v>1.998631074606434</v>
      </c>
      <c r="AJ12" s="67">
        <f t="shared" ref="AJ12:BA12" si="1">AJ13/365.25</f>
        <v>1.998631074606434</v>
      </c>
      <c r="AK12" s="17">
        <f t="shared" si="1"/>
        <v>1.998631074606434</v>
      </c>
      <c r="AL12" s="67">
        <f t="shared" si="1"/>
        <v>1.998631074606434</v>
      </c>
      <c r="AM12" s="17">
        <f t="shared" si="1"/>
        <v>1.998631074606434</v>
      </c>
      <c r="AN12" s="67">
        <f t="shared" si="1"/>
        <v>1.998631074606434</v>
      </c>
      <c r="AO12" s="17">
        <f t="shared" si="1"/>
        <v>1.998631074606434</v>
      </c>
      <c r="AP12" s="67">
        <f t="shared" si="1"/>
        <v>1.998631074606434</v>
      </c>
      <c r="AQ12" s="17">
        <f t="shared" si="1"/>
        <v>1.998631074606434</v>
      </c>
      <c r="AR12" s="67">
        <f t="shared" si="1"/>
        <v>0</v>
      </c>
      <c r="AS12" s="17">
        <f t="shared" si="1"/>
        <v>0</v>
      </c>
      <c r="AT12" s="67">
        <f t="shared" si="1"/>
        <v>0</v>
      </c>
      <c r="AU12" s="17">
        <f t="shared" si="1"/>
        <v>0</v>
      </c>
      <c r="AV12" s="67">
        <f t="shared" si="1"/>
        <v>1.998631074606434</v>
      </c>
      <c r="AW12" s="17">
        <f t="shared" si="1"/>
        <v>0</v>
      </c>
      <c r="AX12" s="67">
        <f t="shared" si="1"/>
        <v>0</v>
      </c>
      <c r="AY12" s="17">
        <f t="shared" si="1"/>
        <v>0</v>
      </c>
      <c r="AZ12" s="67">
        <f t="shared" si="1"/>
        <v>0</v>
      </c>
      <c r="BA12" s="17">
        <f t="shared" si="1"/>
        <v>0</v>
      </c>
    </row>
    <row r="13" spans="1:56" s="1" customFormat="1" x14ac:dyDescent="0.2">
      <c r="A13" s="5"/>
      <c r="B13" s="138" t="s">
        <v>50</v>
      </c>
      <c r="C13" s="5"/>
      <c r="D13" s="23">
        <v>730</v>
      </c>
      <c r="E13" s="68">
        <v>730</v>
      </c>
      <c r="F13" s="23">
        <v>730</v>
      </c>
      <c r="G13" s="68">
        <v>730</v>
      </c>
      <c r="H13" s="23">
        <v>730</v>
      </c>
      <c r="I13" s="68">
        <v>730</v>
      </c>
      <c r="J13" s="23">
        <v>730</v>
      </c>
      <c r="K13" s="68">
        <v>730</v>
      </c>
      <c r="L13" s="23">
        <v>730</v>
      </c>
      <c r="M13" s="68">
        <v>730</v>
      </c>
      <c r="N13" s="23">
        <v>730</v>
      </c>
      <c r="O13" s="68">
        <v>730</v>
      </c>
      <c r="P13" s="23">
        <v>730</v>
      </c>
      <c r="Q13" s="68">
        <v>730</v>
      </c>
      <c r="R13" s="23">
        <v>730</v>
      </c>
      <c r="S13" s="68">
        <v>730</v>
      </c>
      <c r="T13" s="23">
        <v>730</v>
      </c>
      <c r="U13" s="68">
        <v>730</v>
      </c>
      <c r="V13" s="23">
        <v>730</v>
      </c>
      <c r="W13" s="68">
        <v>730</v>
      </c>
      <c r="X13" s="23">
        <v>730</v>
      </c>
      <c r="Y13" s="68">
        <v>730</v>
      </c>
      <c r="Z13" s="68">
        <v>730</v>
      </c>
      <c r="AA13" s="23">
        <v>730</v>
      </c>
      <c r="AB13" s="68">
        <v>730</v>
      </c>
      <c r="AC13" s="23">
        <v>730</v>
      </c>
      <c r="AD13" s="68">
        <v>730</v>
      </c>
      <c r="AE13" s="23">
        <v>730</v>
      </c>
      <c r="AF13" s="68">
        <v>730</v>
      </c>
      <c r="AG13" s="23">
        <v>730</v>
      </c>
      <c r="AH13" s="68">
        <v>730</v>
      </c>
      <c r="AI13" s="23">
        <v>730</v>
      </c>
      <c r="AJ13" s="68">
        <v>730</v>
      </c>
      <c r="AK13" s="23">
        <v>730</v>
      </c>
      <c r="AL13" s="68">
        <v>730</v>
      </c>
      <c r="AM13" s="23">
        <v>730</v>
      </c>
      <c r="AN13" s="68">
        <v>730</v>
      </c>
      <c r="AO13" s="23">
        <v>730</v>
      </c>
      <c r="AP13" s="68">
        <v>730</v>
      </c>
      <c r="AQ13" s="68">
        <v>730</v>
      </c>
      <c r="AR13" s="68"/>
      <c r="AS13" s="68"/>
      <c r="AT13" s="68"/>
      <c r="AU13" s="68"/>
      <c r="AV13" s="68">
        <v>730</v>
      </c>
      <c r="AW13" s="68"/>
      <c r="AX13" s="68"/>
      <c r="AY13" s="68"/>
      <c r="AZ13" s="68"/>
      <c r="BA13" s="23"/>
    </row>
    <row r="14" spans="1:56" s="1" customFormat="1" x14ac:dyDescent="0.2">
      <c r="A14" s="5"/>
      <c r="B14" s="5"/>
      <c r="C14" s="5"/>
      <c r="D14" s="26"/>
      <c r="E14" s="66"/>
      <c r="F14" s="45"/>
      <c r="G14" s="66"/>
      <c r="H14" s="45"/>
      <c r="I14" s="66"/>
      <c r="J14" s="45"/>
      <c r="K14" s="66"/>
      <c r="L14" s="46"/>
      <c r="M14" s="75"/>
      <c r="N14" s="46"/>
      <c r="O14" s="75"/>
      <c r="P14" s="46"/>
      <c r="Q14" s="75"/>
      <c r="R14" s="46"/>
      <c r="S14" s="76"/>
      <c r="T14" s="28"/>
      <c r="U14" s="76"/>
      <c r="V14" s="28"/>
      <c r="W14" s="76"/>
      <c r="X14" s="26"/>
      <c r="Y14" s="70"/>
      <c r="Z14" s="70"/>
      <c r="AA14" s="58"/>
      <c r="AB14" s="26"/>
      <c r="AC14" s="70"/>
      <c r="AD14" s="26"/>
      <c r="AE14" s="79"/>
      <c r="AF14" s="70"/>
      <c r="AG14" s="26"/>
      <c r="AH14" s="70"/>
      <c r="AI14" s="26"/>
      <c r="AJ14" s="70"/>
      <c r="AK14" s="58"/>
      <c r="AL14" s="26"/>
      <c r="AM14" s="79"/>
      <c r="AN14" s="70"/>
      <c r="AO14" s="26"/>
      <c r="AP14" s="70"/>
      <c r="AQ14" s="26"/>
      <c r="AR14" s="70"/>
      <c r="AS14" s="26"/>
      <c r="AT14" s="70"/>
      <c r="AU14" s="26"/>
      <c r="AV14" s="70"/>
      <c r="AW14" s="26"/>
      <c r="AX14" s="70"/>
      <c r="AY14" s="26"/>
      <c r="AZ14" s="70"/>
      <c r="BA14" s="26"/>
      <c r="BB14" s="45"/>
      <c r="BC14" s="45"/>
      <c r="BD14" s="45"/>
    </row>
    <row r="15" spans="1:56" s="1" customFormat="1" ht="15.75" x14ac:dyDescent="0.25">
      <c r="A15" s="5"/>
      <c r="B15" s="4" t="s">
        <v>68</v>
      </c>
      <c r="C15" s="5"/>
      <c r="D15" s="47">
        <f>D17/365.25</f>
        <v>8.2135523613963035E-2</v>
      </c>
      <c r="E15" s="67">
        <f t="shared" ref="E15:BA15" si="2">E17/365.25</f>
        <v>0.10951403148528405</v>
      </c>
      <c r="F15" s="47">
        <f t="shared" si="2"/>
        <v>0.13689253935660506</v>
      </c>
      <c r="G15" s="67">
        <f t="shared" si="2"/>
        <v>0.16427104722792607</v>
      </c>
      <c r="H15" s="47">
        <f t="shared" si="2"/>
        <v>0.19164955509924708</v>
      </c>
      <c r="I15" s="67">
        <f t="shared" si="2"/>
        <v>0.21902806297056809</v>
      </c>
      <c r="J15" s="47">
        <f t="shared" si="2"/>
        <v>0.24640657084188911</v>
      </c>
      <c r="K15" s="67">
        <f t="shared" si="2"/>
        <v>0.27378507871321012</v>
      </c>
      <c r="L15" s="47">
        <f t="shared" si="2"/>
        <v>0.30116358658453113</v>
      </c>
      <c r="M15" s="67">
        <f t="shared" si="2"/>
        <v>0.32854209445585214</v>
      </c>
      <c r="N15" s="47">
        <f t="shared" si="2"/>
        <v>0.34223134839151265</v>
      </c>
      <c r="O15" s="67">
        <f t="shared" si="2"/>
        <v>0.35592060232717315</v>
      </c>
      <c r="P15" s="47">
        <f t="shared" si="2"/>
        <v>0.36960985626283366</v>
      </c>
      <c r="Q15" s="67">
        <f t="shared" si="2"/>
        <v>0.38329911019849416</v>
      </c>
      <c r="R15" s="47">
        <f t="shared" si="2"/>
        <v>0.39698836413415467</v>
      </c>
      <c r="S15" s="67">
        <f t="shared" si="2"/>
        <v>0.41067761806981518</v>
      </c>
      <c r="T15" s="47">
        <f t="shared" si="2"/>
        <v>0.42436687200547568</v>
      </c>
      <c r="U15" s="67">
        <f t="shared" si="2"/>
        <v>0.43805612594113619</v>
      </c>
      <c r="V15" s="47">
        <f t="shared" si="2"/>
        <v>0.45174537987679669</v>
      </c>
      <c r="W15" s="67">
        <f t="shared" si="2"/>
        <v>0.4654346338124572</v>
      </c>
      <c r="X15" s="47">
        <f t="shared" si="2"/>
        <v>0.4791238877481177</v>
      </c>
      <c r="Y15" s="67">
        <f t="shared" si="2"/>
        <v>0.49281314168377821</v>
      </c>
      <c r="Z15" s="47">
        <f t="shared" si="2"/>
        <v>0.50650239561943877</v>
      </c>
      <c r="AA15" s="67">
        <f t="shared" si="2"/>
        <v>0.52019164955509922</v>
      </c>
      <c r="AB15" s="47">
        <f t="shared" si="2"/>
        <v>0.53388090349075978</v>
      </c>
      <c r="AC15" s="67">
        <f t="shared" si="2"/>
        <v>0.54757015742642023</v>
      </c>
      <c r="AD15" s="47">
        <f t="shared" si="2"/>
        <v>0.5612594113620808</v>
      </c>
      <c r="AE15" s="98">
        <f t="shared" si="2"/>
        <v>0.57494866529774125</v>
      </c>
      <c r="AF15" s="67">
        <f t="shared" si="2"/>
        <v>0.58042436687200549</v>
      </c>
      <c r="AG15" s="59">
        <f t="shared" si="2"/>
        <v>0.58590006844626963</v>
      </c>
      <c r="AH15" s="47">
        <f t="shared" si="2"/>
        <v>0.59137577002053388</v>
      </c>
      <c r="AI15" s="67">
        <f t="shared" si="2"/>
        <v>0.59685147159479812</v>
      </c>
      <c r="AJ15" s="47">
        <f t="shared" si="2"/>
        <v>0.60232717316906226</v>
      </c>
      <c r="AK15" s="67">
        <f t="shared" si="2"/>
        <v>0.6078028747433265</v>
      </c>
      <c r="AL15" s="47">
        <f t="shared" si="2"/>
        <v>0.61327857631759064</v>
      </c>
      <c r="AM15" s="67">
        <f t="shared" si="2"/>
        <v>0.61875427789185489</v>
      </c>
      <c r="AN15" s="47">
        <f t="shared" si="2"/>
        <v>0.62422997946611913</v>
      </c>
      <c r="AO15" s="67">
        <f t="shared" si="2"/>
        <v>0.62970568104038327</v>
      </c>
      <c r="AP15" s="67">
        <f t="shared" si="2"/>
        <v>0.62970568104038327</v>
      </c>
      <c r="AQ15" s="67">
        <f t="shared" si="2"/>
        <v>0.62970568104038327</v>
      </c>
      <c r="AR15" s="67">
        <f t="shared" si="2"/>
        <v>0</v>
      </c>
      <c r="AS15" s="67">
        <f t="shared" si="2"/>
        <v>0</v>
      </c>
      <c r="AT15" s="67">
        <f t="shared" si="2"/>
        <v>0</v>
      </c>
      <c r="AU15" s="67">
        <f t="shared" si="2"/>
        <v>0</v>
      </c>
      <c r="AV15" s="67">
        <f t="shared" si="2"/>
        <v>0.62970568104038327</v>
      </c>
      <c r="AW15" s="67">
        <f t="shared" si="2"/>
        <v>0</v>
      </c>
      <c r="AX15" s="67">
        <f t="shared" si="2"/>
        <v>0</v>
      </c>
      <c r="AY15" s="67">
        <f t="shared" si="2"/>
        <v>0</v>
      </c>
      <c r="AZ15" s="67">
        <f t="shared" si="2"/>
        <v>0</v>
      </c>
      <c r="BA15" s="98">
        <f t="shared" si="2"/>
        <v>0</v>
      </c>
      <c r="BB15" s="45"/>
      <c r="BC15" s="45"/>
      <c r="BD15" s="45"/>
    </row>
    <row r="16" spans="1:56" s="1" customFormat="1" ht="15.75" x14ac:dyDescent="0.25">
      <c r="A16" s="5"/>
      <c r="B16" s="4" t="s">
        <v>69</v>
      </c>
      <c r="C16" s="5"/>
      <c r="D16" s="59" t="s">
        <v>71</v>
      </c>
      <c r="E16" s="67"/>
      <c r="F16" s="47"/>
      <c r="G16" s="67"/>
      <c r="H16" s="47"/>
      <c r="I16" s="67"/>
      <c r="J16" s="47"/>
      <c r="K16" s="67"/>
      <c r="L16" s="47"/>
      <c r="M16" s="67"/>
      <c r="N16" s="47"/>
      <c r="O16" s="67"/>
      <c r="P16" s="47"/>
      <c r="Q16" s="67"/>
      <c r="R16" s="47"/>
      <c r="S16" s="67"/>
      <c r="T16" s="47"/>
      <c r="U16" s="67"/>
      <c r="V16" s="47"/>
      <c r="W16" s="67"/>
      <c r="X16" s="47"/>
      <c r="Y16" s="67"/>
      <c r="Z16" s="47"/>
      <c r="AA16" s="67"/>
      <c r="AB16" s="47"/>
      <c r="AC16" s="67"/>
      <c r="AD16" s="47"/>
      <c r="AE16" s="67"/>
      <c r="AF16" s="47"/>
      <c r="AG16" s="67"/>
      <c r="AH16" s="47"/>
      <c r="AI16" s="67"/>
      <c r="AJ16" s="47"/>
      <c r="AK16" s="67"/>
      <c r="AL16" s="47"/>
      <c r="AM16" s="67"/>
      <c r="AN16" s="47"/>
      <c r="AO16" s="67"/>
      <c r="AP16" s="47"/>
      <c r="AQ16" s="67"/>
      <c r="AR16" s="47"/>
      <c r="AS16" s="70"/>
      <c r="AT16" s="26"/>
      <c r="AU16" s="70"/>
      <c r="AV16" s="26"/>
      <c r="AW16" s="70"/>
      <c r="AX16" s="26"/>
      <c r="AY16" s="70"/>
      <c r="AZ16" s="26"/>
      <c r="BA16" s="79"/>
      <c r="BB16" s="45"/>
      <c r="BC16" s="45"/>
      <c r="BD16" s="45"/>
    </row>
    <row r="17" spans="1:256" s="1" customFormat="1" x14ac:dyDescent="0.2">
      <c r="A17" s="5"/>
      <c r="B17" s="138" t="s">
        <v>51</v>
      </c>
      <c r="C17" s="5"/>
      <c r="D17" s="60">
        <v>30</v>
      </c>
      <c r="E17" s="68">
        <v>40</v>
      </c>
      <c r="F17" s="25">
        <v>50</v>
      </c>
      <c r="G17" s="68">
        <v>60</v>
      </c>
      <c r="H17" s="25">
        <v>70</v>
      </c>
      <c r="I17" s="68">
        <v>80</v>
      </c>
      <c r="J17" s="25">
        <v>90</v>
      </c>
      <c r="K17" s="68">
        <v>100</v>
      </c>
      <c r="L17" s="25">
        <v>110</v>
      </c>
      <c r="M17" s="68">
        <v>120</v>
      </c>
      <c r="N17" s="25">
        <v>125</v>
      </c>
      <c r="O17" s="68">
        <v>130</v>
      </c>
      <c r="P17" s="25">
        <v>135</v>
      </c>
      <c r="Q17" s="68">
        <v>140</v>
      </c>
      <c r="R17" s="25">
        <v>145</v>
      </c>
      <c r="S17" s="68">
        <v>150</v>
      </c>
      <c r="T17" s="25">
        <v>155</v>
      </c>
      <c r="U17" s="68">
        <v>160</v>
      </c>
      <c r="V17" s="25">
        <v>165</v>
      </c>
      <c r="W17" s="68">
        <v>170</v>
      </c>
      <c r="X17" s="25">
        <v>175</v>
      </c>
      <c r="Y17" s="68">
        <v>180</v>
      </c>
      <c r="Z17" s="25">
        <v>185</v>
      </c>
      <c r="AA17" s="68">
        <v>190</v>
      </c>
      <c r="AB17" s="25">
        <v>195</v>
      </c>
      <c r="AC17" s="68">
        <v>200</v>
      </c>
      <c r="AD17" s="25">
        <v>205</v>
      </c>
      <c r="AE17" s="68">
        <v>210</v>
      </c>
      <c r="AF17" s="25">
        <v>212</v>
      </c>
      <c r="AG17" s="68">
        <v>214</v>
      </c>
      <c r="AH17" s="25">
        <v>216</v>
      </c>
      <c r="AI17" s="68">
        <v>218</v>
      </c>
      <c r="AJ17" s="25">
        <v>220</v>
      </c>
      <c r="AK17" s="68">
        <v>222</v>
      </c>
      <c r="AL17" s="25">
        <v>224</v>
      </c>
      <c r="AM17" s="68">
        <v>226</v>
      </c>
      <c r="AN17" s="25">
        <v>228</v>
      </c>
      <c r="AO17" s="68">
        <v>230</v>
      </c>
      <c r="AP17" s="25">
        <v>230</v>
      </c>
      <c r="AQ17" s="68">
        <v>230</v>
      </c>
      <c r="AR17" s="25"/>
      <c r="AS17" s="68"/>
      <c r="AT17" s="25"/>
      <c r="AU17" s="68"/>
      <c r="AV17" s="25">
        <v>230</v>
      </c>
      <c r="AW17" s="68"/>
      <c r="AX17" s="25"/>
      <c r="AY17" s="68"/>
      <c r="AZ17" s="25"/>
      <c r="BA17" s="80"/>
      <c r="BB17" s="45"/>
      <c r="BC17" s="45"/>
      <c r="BD17" s="45"/>
    </row>
    <row r="18" spans="1:256" s="1" customFormat="1" x14ac:dyDescent="0.2">
      <c r="A18" s="5"/>
      <c r="B18" s="138" t="s">
        <v>52</v>
      </c>
      <c r="C18" s="5"/>
      <c r="D18" s="61">
        <v>0.16</v>
      </c>
      <c r="E18" s="61">
        <v>0.15405694150420951</v>
      </c>
      <c r="F18" s="48">
        <v>0.13071067811865475</v>
      </c>
      <c r="G18" s="69">
        <v>0.11454972243679028</v>
      </c>
      <c r="H18" s="48">
        <v>0.10261857332386254</v>
      </c>
      <c r="I18" s="69">
        <v>9.340169943749474E-2</v>
      </c>
      <c r="J18" s="48">
        <v>8.6037961002806321E-2</v>
      </c>
      <c r="K18" s="69">
        <v>0.08</v>
      </c>
      <c r="L18" s="48">
        <v>7.4945856735006894E-2</v>
      </c>
      <c r="M18" s="69">
        <v>7.0643546458763848E-2</v>
      </c>
      <c r="N18" s="48">
        <v>6.8721359549995795E-2</v>
      </c>
      <c r="O18" s="69">
        <v>6.6929824042274544E-2</v>
      </c>
      <c r="P18" s="48">
        <v>6.5255370513415747E-2</v>
      </c>
      <c r="Q18" s="69">
        <v>6.3686284164997248E-2</v>
      </c>
      <c r="R18" s="48">
        <v>6.2212395099283779E-2</v>
      </c>
      <c r="S18" s="69">
        <v>6.0824829046386301E-2</v>
      </c>
      <c r="T18" s="48">
        <v>5.9515805154802363E-2</v>
      </c>
      <c r="U18" s="69">
        <v>5.8278470752104752E-2</v>
      </c>
      <c r="V18" s="48">
        <v>5.7106765389894329E-2</v>
      </c>
      <c r="W18" s="69">
        <v>5.5995308265897929E-2</v>
      </c>
      <c r="X18" s="48">
        <v>5.4939304443779861E-2</v>
      </c>
      <c r="Y18" s="69">
        <v>5.3934466291663166E-2</v>
      </c>
      <c r="Z18" s="48">
        <v>5.297694732090661E-2</v>
      </c>
      <c r="AA18" s="69">
        <v>5.2063286189711108E-2</v>
      </c>
      <c r="AB18" s="48">
        <v>5.119035908658702E-2</v>
      </c>
      <c r="AC18" s="69">
        <v>5.0355339059327375E-2</v>
      </c>
      <c r="AD18" s="48">
        <v>4.9555661129942329E-2</v>
      </c>
      <c r="AE18" s="69">
        <v>4.8788992252831995E-2</v>
      </c>
      <c r="AF18" s="48">
        <v>4.8491084383398664E-2</v>
      </c>
      <c r="AG18" s="69">
        <v>4.8197987940018207E-2</v>
      </c>
      <c r="AH18" s="48">
        <v>4.7909579760877473E-2</v>
      </c>
      <c r="AI18" s="69">
        <v>4.7625740963838072E-2</v>
      </c>
      <c r="AJ18" s="48">
        <v>4.734635675952574E-2</v>
      </c>
      <c r="AK18" s="69">
        <v>4.7071316274214729E-2</v>
      </c>
      <c r="AL18" s="48">
        <v>4.6800512381910186E-2</v>
      </c>
      <c r="AM18" s="69">
        <v>4.6533841545072813E-2</v>
      </c>
      <c r="AN18" s="48">
        <v>4.6271203663468201E-2</v>
      </c>
      <c r="AO18" s="69">
        <v>4.6012501930658915E-2</v>
      </c>
      <c r="AP18" s="48">
        <v>4.6012501930658915E-2</v>
      </c>
      <c r="AQ18" s="69">
        <v>4.6012501930658915E-2</v>
      </c>
      <c r="AR18" s="48"/>
      <c r="AS18" s="69"/>
      <c r="AT18" s="48"/>
      <c r="AU18" s="69"/>
      <c r="AV18" s="48">
        <v>0.05</v>
      </c>
      <c r="AW18" s="69"/>
      <c r="AX18" s="48"/>
      <c r="AY18" s="69"/>
      <c r="AZ18" s="48"/>
      <c r="BA18" s="99"/>
      <c r="BB18" s="45"/>
      <c r="BC18" s="45"/>
      <c r="BD18" s="45"/>
    </row>
    <row r="19" spans="1:256" s="1" customFormat="1" x14ac:dyDescent="0.2">
      <c r="A19" s="5"/>
      <c r="B19" s="138" t="s">
        <v>53</v>
      </c>
      <c r="C19" s="5"/>
      <c r="D19" s="62">
        <v>2E-3</v>
      </c>
      <c r="E19" s="69">
        <v>2E-3</v>
      </c>
      <c r="F19" s="48">
        <v>3.0000000000000001E-3</v>
      </c>
      <c r="G19" s="69">
        <v>3.0000000000000001E-3</v>
      </c>
      <c r="H19" s="48">
        <v>4.0000000000000001E-3</v>
      </c>
      <c r="I19" s="69">
        <v>4.0000000000000001E-3</v>
      </c>
      <c r="J19" s="48">
        <v>5.0000000000000001E-3</v>
      </c>
      <c r="K19" s="69">
        <v>6.0000000000000001E-3</v>
      </c>
      <c r="L19" s="48">
        <v>7.0000000000000001E-3</v>
      </c>
      <c r="M19" s="69">
        <v>8.0000000000000002E-3</v>
      </c>
      <c r="N19" s="48">
        <v>8.9999999999999993E-3</v>
      </c>
      <c r="O19" s="69">
        <v>0.01</v>
      </c>
      <c r="P19" s="48">
        <v>1.0999999999999999E-2</v>
      </c>
      <c r="Q19" s="69">
        <v>1.2E-2</v>
      </c>
      <c r="R19" s="48">
        <v>1.2999999999999999E-2</v>
      </c>
      <c r="S19" s="69">
        <v>1.4E-2</v>
      </c>
      <c r="T19" s="48">
        <v>1.4999999999999999E-2</v>
      </c>
      <c r="U19" s="69">
        <v>1.6E-2</v>
      </c>
      <c r="V19" s="48">
        <v>1.7000000000000001E-2</v>
      </c>
      <c r="W19" s="69">
        <v>1.7999999999999999E-2</v>
      </c>
      <c r="X19" s="48">
        <v>0.02</v>
      </c>
      <c r="Y19" s="69">
        <v>2.1999999999999999E-2</v>
      </c>
      <c r="Z19" s="48">
        <v>2.5000000000000001E-2</v>
      </c>
      <c r="AA19" s="69">
        <v>0.03</v>
      </c>
      <c r="AB19" s="48">
        <v>3.5000000000000003E-2</v>
      </c>
      <c r="AC19" s="69">
        <v>0.04</v>
      </c>
      <c r="AD19" s="48">
        <v>4.4999999999999998E-2</v>
      </c>
      <c r="AE19" s="69">
        <v>0.05</v>
      </c>
      <c r="AF19" s="48">
        <v>5.5E-2</v>
      </c>
      <c r="AG19" s="69">
        <v>0.06</v>
      </c>
      <c r="AH19" s="48">
        <v>6.5000000000000002E-2</v>
      </c>
      <c r="AI19" s="69">
        <v>7.0000000000000007E-2</v>
      </c>
      <c r="AJ19" s="48">
        <v>0.08</v>
      </c>
      <c r="AK19" s="69">
        <v>0.09</v>
      </c>
      <c r="AL19" s="48">
        <v>0.1</v>
      </c>
      <c r="AM19" s="69">
        <v>0.11</v>
      </c>
      <c r="AN19" s="48">
        <v>0.12</v>
      </c>
      <c r="AO19" s="69">
        <v>0.13</v>
      </c>
      <c r="AP19" s="48">
        <v>0.13500000000000001</v>
      </c>
      <c r="AQ19" s="69">
        <v>0.14000000000000001</v>
      </c>
      <c r="AR19" s="48"/>
      <c r="AS19" s="69"/>
      <c r="AT19" s="48"/>
      <c r="AU19" s="69"/>
      <c r="AV19" s="48">
        <v>0.2</v>
      </c>
      <c r="AW19" s="69"/>
      <c r="AX19" s="48"/>
      <c r="AY19" s="69"/>
      <c r="AZ19" s="48"/>
      <c r="BA19" s="99"/>
      <c r="BB19" s="45"/>
      <c r="BC19" s="45"/>
      <c r="BD19" s="45"/>
    </row>
    <row r="20" spans="1:256" s="1" customFormat="1" x14ac:dyDescent="0.2">
      <c r="A20" s="5"/>
      <c r="B20" s="138" t="s">
        <v>54</v>
      </c>
      <c r="C20" s="5"/>
      <c r="D20" s="62">
        <v>0.5</v>
      </c>
      <c r="E20" s="69">
        <v>0.5</v>
      </c>
      <c r="F20" s="48">
        <v>0.5</v>
      </c>
      <c r="G20" s="69">
        <v>0.5</v>
      </c>
      <c r="H20" s="48">
        <v>0.5</v>
      </c>
      <c r="I20" s="69">
        <v>0.5</v>
      </c>
      <c r="J20" s="48">
        <v>0.45</v>
      </c>
      <c r="K20" s="69">
        <v>0.41</v>
      </c>
      <c r="L20" s="48">
        <v>0.38</v>
      </c>
      <c r="M20" s="69">
        <v>0.35</v>
      </c>
      <c r="N20" s="48">
        <v>0.33</v>
      </c>
      <c r="O20" s="69">
        <v>0.31</v>
      </c>
      <c r="P20" s="48">
        <v>0.3</v>
      </c>
      <c r="Q20" s="69">
        <v>0.28999999999999998</v>
      </c>
      <c r="R20" s="48">
        <v>0.28000000000000003</v>
      </c>
      <c r="S20" s="69">
        <v>0.27</v>
      </c>
      <c r="T20" s="48">
        <v>0.26</v>
      </c>
      <c r="U20" s="69">
        <v>0.25</v>
      </c>
      <c r="V20" s="48">
        <v>0.24</v>
      </c>
      <c r="W20" s="69">
        <v>0.23</v>
      </c>
      <c r="X20" s="48">
        <v>0.22</v>
      </c>
      <c r="Y20" s="69">
        <v>0.21</v>
      </c>
      <c r="Z20" s="48">
        <v>0.2</v>
      </c>
      <c r="AA20" s="69">
        <v>0.18</v>
      </c>
      <c r="AB20" s="48">
        <v>0.17</v>
      </c>
      <c r="AC20" s="69">
        <v>0.15</v>
      </c>
      <c r="AD20" s="48">
        <v>0.15</v>
      </c>
      <c r="AE20" s="69">
        <v>0.14000000000000001</v>
      </c>
      <c r="AF20" s="48">
        <v>0.13</v>
      </c>
      <c r="AG20" s="69">
        <v>0.13</v>
      </c>
      <c r="AH20" s="48">
        <v>0.12</v>
      </c>
      <c r="AI20" s="69">
        <v>0.12</v>
      </c>
      <c r="AJ20" s="48">
        <v>0.11</v>
      </c>
      <c r="AK20" s="69">
        <v>0.1</v>
      </c>
      <c r="AL20" s="48">
        <v>0.09</v>
      </c>
      <c r="AM20" s="69">
        <v>0.09</v>
      </c>
      <c r="AN20" s="48">
        <v>0.09</v>
      </c>
      <c r="AO20" s="69">
        <v>0.08</v>
      </c>
      <c r="AP20" s="48">
        <v>0.08</v>
      </c>
      <c r="AQ20" s="69">
        <v>0.08</v>
      </c>
      <c r="AR20" s="48"/>
      <c r="AS20" s="69"/>
      <c r="AT20" s="48"/>
      <c r="AU20" s="69"/>
      <c r="AV20" s="48">
        <v>7.0000000000000007E-2</v>
      </c>
      <c r="AW20" s="69"/>
      <c r="AX20" s="48"/>
      <c r="AY20" s="69"/>
      <c r="AZ20" s="48"/>
      <c r="BA20" s="99"/>
      <c r="BB20" s="45"/>
      <c r="BC20" s="45"/>
      <c r="BD20" s="45"/>
    </row>
    <row r="21" spans="1:256" s="1" customFormat="1" x14ac:dyDescent="0.2">
      <c r="A21" s="5"/>
      <c r="B21" s="6"/>
      <c r="C21" s="5"/>
      <c r="D21" s="49"/>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26"/>
      <c r="BB21" s="45"/>
      <c r="BC21" s="45"/>
      <c r="BD21" s="45"/>
    </row>
    <row r="22" spans="1:256" s="1" customFormat="1" ht="15.75" x14ac:dyDescent="0.25">
      <c r="A22" s="5"/>
      <c r="B22" s="30" t="s">
        <v>74</v>
      </c>
      <c r="C22" s="5"/>
      <c r="D22" s="49"/>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26"/>
      <c r="BB22" s="45"/>
      <c r="BC22" s="45"/>
      <c r="BD22" s="45"/>
    </row>
    <row r="23" spans="1:256" s="1" customFormat="1" x14ac:dyDescent="0.2">
      <c r="A23" s="5"/>
      <c r="B23" s="6" t="s">
        <v>14</v>
      </c>
      <c r="C23" s="5"/>
      <c r="D23" s="158">
        <f t="shared" ref="D23:AI23" si="3">IF(ISBLANK(D9),"",1-$D$36)</f>
        <v>0.85</v>
      </c>
      <c r="E23" s="159">
        <f t="shared" si="3"/>
        <v>0.85</v>
      </c>
      <c r="F23" s="160">
        <f t="shared" si="3"/>
        <v>0.85</v>
      </c>
      <c r="G23" s="159">
        <f t="shared" si="3"/>
        <v>0.85</v>
      </c>
      <c r="H23" s="160">
        <f t="shared" si="3"/>
        <v>0.85</v>
      </c>
      <c r="I23" s="159">
        <f t="shared" si="3"/>
        <v>0.85</v>
      </c>
      <c r="J23" s="160">
        <f t="shared" si="3"/>
        <v>0.85</v>
      </c>
      <c r="K23" s="159">
        <f t="shared" si="3"/>
        <v>0.85</v>
      </c>
      <c r="L23" s="160">
        <f t="shared" si="3"/>
        <v>0.85</v>
      </c>
      <c r="M23" s="159">
        <f t="shared" si="3"/>
        <v>0.85</v>
      </c>
      <c r="N23" s="160">
        <f t="shared" si="3"/>
        <v>0.85</v>
      </c>
      <c r="O23" s="159">
        <f t="shared" si="3"/>
        <v>0.85</v>
      </c>
      <c r="P23" s="160">
        <f t="shared" si="3"/>
        <v>0.85</v>
      </c>
      <c r="Q23" s="159">
        <f t="shared" si="3"/>
        <v>0.85</v>
      </c>
      <c r="R23" s="160">
        <f t="shared" si="3"/>
        <v>0.85</v>
      </c>
      <c r="S23" s="159">
        <f t="shared" si="3"/>
        <v>0.85</v>
      </c>
      <c r="T23" s="160">
        <f t="shared" si="3"/>
        <v>0.85</v>
      </c>
      <c r="U23" s="160">
        <f t="shared" si="3"/>
        <v>0.85</v>
      </c>
      <c r="V23" s="159">
        <f t="shared" si="3"/>
        <v>0.85</v>
      </c>
      <c r="W23" s="160">
        <f t="shared" si="3"/>
        <v>0.85</v>
      </c>
      <c r="X23" s="159">
        <f t="shared" si="3"/>
        <v>0.85</v>
      </c>
      <c r="Y23" s="160">
        <f t="shared" si="3"/>
        <v>0.85</v>
      </c>
      <c r="Z23" s="159">
        <f t="shared" si="3"/>
        <v>0.85</v>
      </c>
      <c r="AA23" s="160">
        <f t="shared" si="3"/>
        <v>0.85</v>
      </c>
      <c r="AB23" s="159">
        <f t="shared" si="3"/>
        <v>0.85</v>
      </c>
      <c r="AC23" s="160">
        <f t="shared" si="3"/>
        <v>0.85</v>
      </c>
      <c r="AD23" s="159">
        <f t="shared" si="3"/>
        <v>0.85</v>
      </c>
      <c r="AE23" s="160">
        <f t="shared" si="3"/>
        <v>0.85</v>
      </c>
      <c r="AF23" s="159">
        <f t="shared" si="3"/>
        <v>0.85</v>
      </c>
      <c r="AG23" s="160">
        <f t="shared" si="3"/>
        <v>0.85</v>
      </c>
      <c r="AH23" s="159">
        <f t="shared" si="3"/>
        <v>0.85</v>
      </c>
      <c r="AI23" s="160">
        <f t="shared" si="3"/>
        <v>0.85</v>
      </c>
      <c r="AJ23" s="160">
        <f t="shared" ref="AJ23:BA23" si="4">IF(ISBLANK(AJ9),"",1-$D$36)</f>
        <v>0.85</v>
      </c>
      <c r="AK23" s="159">
        <f t="shared" si="4"/>
        <v>0.85</v>
      </c>
      <c r="AL23" s="160">
        <f t="shared" si="4"/>
        <v>0.85</v>
      </c>
      <c r="AM23" s="159">
        <f t="shared" si="4"/>
        <v>0.85</v>
      </c>
      <c r="AN23" s="160">
        <f t="shared" si="4"/>
        <v>0.85</v>
      </c>
      <c r="AO23" s="159">
        <f t="shared" si="4"/>
        <v>0.85</v>
      </c>
      <c r="AP23" s="160">
        <f t="shared" si="4"/>
        <v>0.85</v>
      </c>
      <c r="AQ23" s="159">
        <f t="shared" si="4"/>
        <v>0.85</v>
      </c>
      <c r="AR23" s="160" t="str">
        <f t="shared" si="4"/>
        <v/>
      </c>
      <c r="AS23" s="159" t="str">
        <f t="shared" si="4"/>
        <v/>
      </c>
      <c r="AT23" s="160" t="str">
        <f t="shared" si="4"/>
        <v/>
      </c>
      <c r="AU23" s="159" t="str">
        <f t="shared" si="4"/>
        <v/>
      </c>
      <c r="AV23" s="160">
        <f t="shared" si="4"/>
        <v>0.85</v>
      </c>
      <c r="AW23" s="159" t="str">
        <f t="shared" si="4"/>
        <v/>
      </c>
      <c r="AX23" s="160" t="str">
        <f t="shared" si="4"/>
        <v/>
      </c>
      <c r="AY23" s="159" t="str">
        <f t="shared" si="4"/>
        <v/>
      </c>
      <c r="AZ23" s="160" t="str">
        <f t="shared" si="4"/>
        <v/>
      </c>
      <c r="BA23" s="159" t="str">
        <f t="shared" si="4"/>
        <v/>
      </c>
      <c r="BB23" s="45"/>
      <c r="BC23" s="45"/>
      <c r="BD23" s="45"/>
    </row>
    <row r="24" spans="1:256" s="1" customFormat="1" x14ac:dyDescent="0.2">
      <c r="A24" s="5"/>
      <c r="B24" s="6" t="s">
        <v>57</v>
      </c>
      <c r="C24" s="5"/>
      <c r="D24" s="158">
        <f t="shared" ref="D24:AI24" si="5">IF(ISBLANK(D9),"",1-D23-D25)</f>
        <v>0.14870373716632446</v>
      </c>
      <c r="E24" s="159">
        <f t="shared" si="5"/>
        <v>0.1483546611909651</v>
      </c>
      <c r="F24" s="160">
        <f t="shared" si="5"/>
        <v>0.14788106776180701</v>
      </c>
      <c r="G24" s="159">
        <f t="shared" si="5"/>
        <v>0.14753199178644766</v>
      </c>
      <c r="H24" s="160">
        <f t="shared" si="5"/>
        <v>0.14705839835728954</v>
      </c>
      <c r="I24" s="159">
        <f t="shared" si="5"/>
        <v>0.14670932238193021</v>
      </c>
      <c r="J24" s="160">
        <f t="shared" si="5"/>
        <v>0.14623572895277209</v>
      </c>
      <c r="K24" s="159">
        <f t="shared" si="5"/>
        <v>0.14576213552361397</v>
      </c>
      <c r="L24" s="160">
        <f t="shared" si="5"/>
        <v>0.14528854209445588</v>
      </c>
      <c r="M24" s="159">
        <f t="shared" si="5"/>
        <v>0.14481494866529776</v>
      </c>
      <c r="N24" s="160">
        <f t="shared" si="5"/>
        <v>0.14451589322381933</v>
      </c>
      <c r="O24" s="159">
        <f t="shared" si="5"/>
        <v>0.14421683778234087</v>
      </c>
      <c r="P24" s="160">
        <f t="shared" si="5"/>
        <v>0.14391778234086244</v>
      </c>
      <c r="Q24" s="159">
        <f t="shared" si="5"/>
        <v>0.14361872689938401</v>
      </c>
      <c r="R24" s="160">
        <f t="shared" si="5"/>
        <v>0.14331967145790556</v>
      </c>
      <c r="S24" s="159">
        <f t="shared" si="5"/>
        <v>0.14302061601642713</v>
      </c>
      <c r="T24" s="160">
        <f t="shared" si="5"/>
        <v>0.1427215605749487</v>
      </c>
      <c r="U24" s="160">
        <f t="shared" si="5"/>
        <v>0.14242250513347024</v>
      </c>
      <c r="V24" s="159">
        <f t="shared" si="5"/>
        <v>0.14212344969199181</v>
      </c>
      <c r="W24" s="160">
        <f t="shared" si="5"/>
        <v>0.14182439425051338</v>
      </c>
      <c r="X24" s="159">
        <f t="shared" si="5"/>
        <v>0.14140082135523616</v>
      </c>
      <c r="Y24" s="160">
        <f t="shared" si="5"/>
        <v>0.14097724845995896</v>
      </c>
      <c r="Z24" s="159">
        <f t="shared" si="5"/>
        <v>0.14042915811088297</v>
      </c>
      <c r="AA24" s="160">
        <f t="shared" si="5"/>
        <v>0.13963203285420947</v>
      </c>
      <c r="AB24" s="159">
        <f t="shared" si="5"/>
        <v>0.13883490759753594</v>
      </c>
      <c r="AC24" s="160">
        <f t="shared" si="5"/>
        <v>0.13803778234086245</v>
      </c>
      <c r="AD24" s="159">
        <f t="shared" si="5"/>
        <v>0.13724065708418892</v>
      </c>
      <c r="AE24" s="160">
        <f t="shared" si="5"/>
        <v>0.13644353182751542</v>
      </c>
      <c r="AF24" s="159">
        <f t="shared" si="5"/>
        <v>0.13575112936344971</v>
      </c>
      <c r="AG24" s="160">
        <f t="shared" si="5"/>
        <v>0.135058726899384</v>
      </c>
      <c r="AH24" s="159">
        <f t="shared" si="5"/>
        <v>0.13436632443531829</v>
      </c>
      <c r="AI24" s="160">
        <f t="shared" si="5"/>
        <v>0.13367392197125258</v>
      </c>
      <c r="AJ24" s="160">
        <f t="shared" ref="AJ24:BA24" si="6">IF(ISBLANK(AJ9),"",1-AJ23-AJ25)</f>
        <v>0.13235893223819303</v>
      </c>
      <c r="AK24" s="159">
        <f t="shared" si="6"/>
        <v>0.13104394250513349</v>
      </c>
      <c r="AL24" s="160">
        <f t="shared" si="6"/>
        <v>0.12972895277207394</v>
      </c>
      <c r="AM24" s="159">
        <f t="shared" si="6"/>
        <v>0.12841396303901439</v>
      </c>
      <c r="AN24" s="160">
        <f t="shared" si="6"/>
        <v>0.12709897330595485</v>
      </c>
      <c r="AO24" s="159">
        <f t="shared" si="6"/>
        <v>0.1257839835728953</v>
      </c>
      <c r="AP24" s="160">
        <f t="shared" si="6"/>
        <v>0.12516139630390147</v>
      </c>
      <c r="AQ24" s="159">
        <f t="shared" si="6"/>
        <v>0.12453880903490762</v>
      </c>
      <c r="AR24" s="160" t="str">
        <f t="shared" si="6"/>
        <v/>
      </c>
      <c r="AS24" s="159" t="str">
        <f t="shared" si="6"/>
        <v/>
      </c>
      <c r="AT24" s="160" t="str">
        <f t="shared" si="6"/>
        <v/>
      </c>
      <c r="AU24" s="159" t="str">
        <f t="shared" si="6"/>
        <v/>
      </c>
      <c r="AV24" s="160">
        <f t="shared" si="6"/>
        <v>0.11706776180698154</v>
      </c>
      <c r="AW24" s="159" t="str">
        <f t="shared" si="6"/>
        <v/>
      </c>
      <c r="AX24" s="160" t="str">
        <f t="shared" si="6"/>
        <v/>
      </c>
      <c r="AY24" s="159" t="str">
        <f t="shared" si="6"/>
        <v/>
      </c>
      <c r="AZ24" s="160" t="str">
        <f t="shared" si="6"/>
        <v/>
      </c>
      <c r="BA24" s="159" t="str">
        <f t="shared" si="6"/>
        <v/>
      </c>
      <c r="BB24" s="45"/>
      <c r="BC24" s="45"/>
      <c r="BD24" s="45"/>
    </row>
    <row r="25" spans="1:256" s="1" customFormat="1" x14ac:dyDescent="0.2">
      <c r="A25" s="5"/>
      <c r="B25" s="6" t="s">
        <v>58</v>
      </c>
      <c r="C25" s="5"/>
      <c r="D25" s="158">
        <f t="shared" ref="D25:AI25" si="7">IF(ISBLANK(D9),"",$D$35*(1-$D$36)*(D15-D19*D12)+D19*$D$36)</f>
        <v>1.2962628336755644E-3</v>
      </c>
      <c r="E25" s="159">
        <f t="shared" si="7"/>
        <v>1.6453388090349073E-3</v>
      </c>
      <c r="F25" s="160">
        <f t="shared" si="7"/>
        <v>2.1189322381930183E-3</v>
      </c>
      <c r="G25" s="159">
        <f t="shared" si="7"/>
        <v>2.468008213552361E-3</v>
      </c>
      <c r="H25" s="160">
        <f t="shared" si="7"/>
        <v>2.9416016427104719E-3</v>
      </c>
      <c r="I25" s="159">
        <f t="shared" si="7"/>
        <v>3.2906776180698146E-3</v>
      </c>
      <c r="J25" s="160">
        <f t="shared" si="7"/>
        <v>3.764271047227926E-3</v>
      </c>
      <c r="K25" s="159">
        <f t="shared" si="7"/>
        <v>4.2378644763860366E-3</v>
      </c>
      <c r="L25" s="160">
        <f t="shared" si="7"/>
        <v>4.7114579055441471E-3</v>
      </c>
      <c r="M25" s="158">
        <f t="shared" si="7"/>
        <v>5.1850513347022576E-3</v>
      </c>
      <c r="N25" s="158">
        <f t="shared" si="7"/>
        <v>5.4841067761806968E-3</v>
      </c>
      <c r="O25" s="158">
        <f t="shared" si="7"/>
        <v>5.7831622176591369E-3</v>
      </c>
      <c r="P25" s="158">
        <f t="shared" si="7"/>
        <v>6.0822176591375761E-3</v>
      </c>
      <c r="Q25" s="158">
        <f t="shared" si="7"/>
        <v>6.3812731006160153E-3</v>
      </c>
      <c r="R25" s="158">
        <f t="shared" si="7"/>
        <v>6.6803285420944554E-3</v>
      </c>
      <c r="S25" s="158">
        <f t="shared" si="7"/>
        <v>6.9793839835728955E-3</v>
      </c>
      <c r="T25" s="158">
        <f t="shared" si="7"/>
        <v>7.2784394250513338E-3</v>
      </c>
      <c r="U25" s="158">
        <f t="shared" si="7"/>
        <v>7.5774948665297739E-3</v>
      </c>
      <c r="V25" s="158">
        <f t="shared" si="7"/>
        <v>7.8765503080082122E-3</v>
      </c>
      <c r="W25" s="158">
        <f t="shared" si="7"/>
        <v>8.1756057494866523E-3</v>
      </c>
      <c r="X25" s="158">
        <f t="shared" si="7"/>
        <v>8.5991786447638593E-3</v>
      </c>
      <c r="Y25" s="158">
        <f t="shared" si="7"/>
        <v>9.0227515400410664E-3</v>
      </c>
      <c r="Z25" s="158">
        <f t="shared" si="7"/>
        <v>9.5708418891170439E-3</v>
      </c>
      <c r="AA25" s="158">
        <f t="shared" si="7"/>
        <v>1.0367967145790552E-2</v>
      </c>
      <c r="AB25" s="158">
        <f t="shared" si="7"/>
        <v>1.1165092402464067E-2</v>
      </c>
      <c r="AC25" s="158">
        <f t="shared" si="7"/>
        <v>1.1962217659137575E-2</v>
      </c>
      <c r="AD25" s="158">
        <f t="shared" si="7"/>
        <v>1.2759342915811088E-2</v>
      </c>
      <c r="AE25" s="158">
        <f t="shared" si="7"/>
        <v>1.3556468172484598E-2</v>
      </c>
      <c r="AF25" s="158">
        <f t="shared" si="7"/>
        <v>1.4248870636550309E-2</v>
      </c>
      <c r="AG25" s="158">
        <f t="shared" si="7"/>
        <v>1.4941273100616015E-2</v>
      </c>
      <c r="AH25" s="158">
        <f t="shared" si="7"/>
        <v>1.5633675564681725E-2</v>
      </c>
      <c r="AI25" s="158">
        <f t="shared" si="7"/>
        <v>1.6326078028747436E-2</v>
      </c>
      <c r="AJ25" s="158">
        <f t="shared" ref="AJ25:BA25" si="8">IF(ISBLANK(AJ9),"",$D$35*(1-$D$36)*(AJ15-AJ19*AJ12)+AJ19*$D$36)</f>
        <v>1.7641067761806982E-2</v>
      </c>
      <c r="AK25" s="158">
        <f t="shared" si="8"/>
        <v>1.8956057494866528E-2</v>
      </c>
      <c r="AL25" s="158">
        <f t="shared" si="8"/>
        <v>2.0271047227926078E-2</v>
      </c>
      <c r="AM25" s="158">
        <f t="shared" si="8"/>
        <v>2.1586036960985627E-2</v>
      </c>
      <c r="AN25" s="158">
        <f t="shared" si="8"/>
        <v>2.2901026694045173E-2</v>
      </c>
      <c r="AO25" s="158">
        <f t="shared" si="8"/>
        <v>2.4216016427104723E-2</v>
      </c>
      <c r="AP25" s="158">
        <f t="shared" si="8"/>
        <v>2.4838603696098562E-2</v>
      </c>
      <c r="AQ25" s="158">
        <f t="shared" si="8"/>
        <v>2.5461190965092403E-2</v>
      </c>
      <c r="AR25" s="158" t="str">
        <f t="shared" si="8"/>
        <v/>
      </c>
      <c r="AS25" s="158" t="str">
        <f t="shared" si="8"/>
        <v/>
      </c>
      <c r="AT25" s="158" t="str">
        <f t="shared" si="8"/>
        <v/>
      </c>
      <c r="AU25" s="158" t="str">
        <f t="shared" si="8"/>
        <v/>
      </c>
      <c r="AV25" s="158">
        <f t="shared" si="8"/>
        <v>3.2932238193018479E-2</v>
      </c>
      <c r="AW25" s="159" t="str">
        <f t="shared" si="8"/>
        <v/>
      </c>
      <c r="AX25" s="160" t="str">
        <f t="shared" si="8"/>
        <v/>
      </c>
      <c r="AY25" s="159" t="str">
        <f t="shared" si="8"/>
        <v/>
      </c>
      <c r="AZ25" s="160" t="str">
        <f t="shared" si="8"/>
        <v/>
      </c>
      <c r="BA25" s="159" t="str">
        <f t="shared" si="8"/>
        <v/>
      </c>
      <c r="BB25" s="45"/>
      <c r="BC25" s="45"/>
      <c r="BD25" s="45"/>
    </row>
    <row r="26" spans="1:256" s="1" customFormat="1" x14ac:dyDescent="0.2">
      <c r="A26" s="5"/>
      <c r="B26" s="6"/>
      <c r="C26" s="5"/>
      <c r="D26" s="49"/>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45"/>
      <c r="BC26" s="45"/>
      <c r="BD26" s="45"/>
    </row>
    <row r="27" spans="1:256" s="1" customFormat="1" ht="15.75" x14ac:dyDescent="0.25">
      <c r="A27" s="5"/>
      <c r="B27" s="4" t="s">
        <v>34</v>
      </c>
      <c r="C27" s="5"/>
      <c r="D27" s="49"/>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45"/>
      <c r="BC27" s="45"/>
      <c r="BD27" s="45"/>
    </row>
    <row r="28" spans="1:256" s="1" customFormat="1" x14ac:dyDescent="0.2">
      <c r="A28" s="5"/>
      <c r="B28" s="6" t="s">
        <v>35</v>
      </c>
      <c r="C28" s="5"/>
      <c r="D28" s="25">
        <v>1</v>
      </c>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45"/>
      <c r="BC28" s="45"/>
      <c r="BD28" s="45"/>
    </row>
    <row r="29" spans="1:256" s="1" customFormat="1" x14ac:dyDescent="0.2">
      <c r="A29" s="5"/>
      <c r="B29" s="6" t="s">
        <v>36</v>
      </c>
      <c r="C29" s="5"/>
      <c r="D29" s="25">
        <v>1</v>
      </c>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45"/>
      <c r="BC29" s="45"/>
      <c r="BD29" s="45"/>
    </row>
    <row r="30" spans="1:256" s="1" customFormat="1" x14ac:dyDescent="0.2">
      <c r="A30" s="5"/>
      <c r="B30" s="6"/>
      <c r="C30" s="5"/>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45"/>
      <c r="BC30" s="45"/>
      <c r="BD30" s="45"/>
    </row>
    <row r="31" spans="1:256" s="1" customFormat="1" ht="15.75" x14ac:dyDescent="0.25">
      <c r="A31" s="4"/>
      <c r="B31" s="4" t="s">
        <v>44</v>
      </c>
      <c r="C31" s="4"/>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row>
    <row r="32" spans="1:256" s="1" customFormat="1" x14ac:dyDescent="0.2">
      <c r="A32" s="6"/>
      <c r="B32" s="6" t="s">
        <v>56</v>
      </c>
      <c r="C32" s="6"/>
      <c r="D32" s="51">
        <v>1</v>
      </c>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c r="AF32" s="157"/>
      <c r="AG32" s="157"/>
      <c r="AH32" s="157"/>
      <c r="AI32" s="157"/>
      <c r="AJ32" s="157"/>
      <c r="AK32" s="157"/>
      <c r="AL32" s="157"/>
      <c r="AM32" s="157"/>
      <c r="AN32" s="157"/>
      <c r="AO32" s="157"/>
      <c r="AP32" s="157"/>
      <c r="AQ32" s="157"/>
      <c r="AR32" s="157"/>
      <c r="AS32" s="28"/>
      <c r="AT32" s="28"/>
      <c r="AU32" s="28"/>
      <c r="AV32" s="28"/>
      <c r="AW32" s="28"/>
      <c r="AX32" s="28"/>
      <c r="AY32" s="28"/>
      <c r="AZ32" s="28"/>
      <c r="BA32" s="28"/>
      <c r="BB32" s="28"/>
      <c r="BC32" s="28"/>
      <c r="BD32" s="28"/>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row>
    <row r="33" spans="1:256" s="1" customFormat="1" x14ac:dyDescent="0.2">
      <c r="A33" s="6"/>
      <c r="B33" s="6"/>
      <c r="C33" s="6"/>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57"/>
      <c r="AN33" s="157"/>
      <c r="AO33" s="157"/>
      <c r="AP33" s="157"/>
      <c r="AQ33" s="157"/>
      <c r="AR33" s="157"/>
      <c r="AS33" s="28"/>
      <c r="AT33" s="28"/>
      <c r="AU33" s="28"/>
      <c r="AV33" s="28"/>
      <c r="AW33" s="28"/>
      <c r="AX33" s="28"/>
      <c r="AY33" s="28"/>
      <c r="AZ33" s="28"/>
      <c r="BA33" s="28"/>
      <c r="BB33" s="28"/>
      <c r="BC33" s="28"/>
      <c r="BD33" s="28"/>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row>
    <row r="34" spans="1:256" s="1" customFormat="1" ht="15.75" x14ac:dyDescent="0.25">
      <c r="A34" s="5"/>
      <c r="B34" s="4" t="s">
        <v>5</v>
      </c>
      <c r="C34" s="5"/>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26"/>
      <c r="AS34" s="26"/>
      <c r="AT34" s="26"/>
      <c r="AU34" s="26"/>
      <c r="AV34" s="26"/>
      <c r="AW34" s="26"/>
      <c r="AX34" s="26"/>
      <c r="AY34" s="26"/>
      <c r="AZ34" s="26"/>
      <c r="BA34" s="26"/>
      <c r="BB34" s="45"/>
      <c r="BC34" s="45"/>
      <c r="BD34" s="45"/>
    </row>
    <row r="35" spans="1:256" s="1" customFormat="1" x14ac:dyDescent="0.2">
      <c r="A35" s="5"/>
      <c r="B35" s="6" t="s">
        <v>19</v>
      </c>
      <c r="C35" s="5"/>
      <c r="D35" s="48">
        <v>1.4999999999999999E-2</v>
      </c>
      <c r="E35" s="45"/>
      <c r="F35" s="45"/>
      <c r="G35" s="45"/>
      <c r="H35" s="45"/>
      <c r="I35" s="45"/>
      <c r="J35" s="45"/>
      <c r="K35" s="45"/>
      <c r="L35" s="45"/>
      <c r="M35" s="45"/>
      <c r="N35" s="45"/>
      <c r="O35" s="45"/>
      <c r="P35" s="45"/>
      <c r="Q35" s="45"/>
      <c r="R35" s="45"/>
      <c r="S35" s="45"/>
      <c r="T35" s="45"/>
      <c r="U35" s="45"/>
      <c r="V35" s="45"/>
      <c r="W35" s="45"/>
      <c r="X35" s="45"/>
      <c r="Y35" s="45"/>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45"/>
      <c r="BC35" s="45"/>
      <c r="BD35" s="45"/>
    </row>
    <row r="36" spans="1:256" s="1" customFormat="1" x14ac:dyDescent="0.2">
      <c r="A36" s="5"/>
      <c r="B36" s="6" t="s">
        <v>25</v>
      </c>
      <c r="C36" s="5"/>
      <c r="D36" s="48">
        <v>0.15</v>
      </c>
      <c r="E36" s="45"/>
      <c r="F36" s="45"/>
      <c r="G36" s="45"/>
      <c r="H36" s="45"/>
      <c r="I36" s="45"/>
      <c r="J36" s="45"/>
      <c r="K36" s="45"/>
      <c r="L36" s="45"/>
      <c r="M36" s="45"/>
      <c r="N36" s="45"/>
      <c r="O36" s="45"/>
      <c r="P36" s="45"/>
      <c r="Q36" s="45"/>
      <c r="R36" s="45"/>
      <c r="S36" s="45"/>
      <c r="T36" s="45"/>
      <c r="U36" s="45"/>
      <c r="V36" s="45"/>
      <c r="W36" s="45"/>
      <c r="X36" s="45"/>
      <c r="Y36" s="45"/>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45"/>
      <c r="BC36" s="45"/>
      <c r="BD36" s="45"/>
    </row>
    <row r="37" spans="1:256" s="1" customFormat="1" x14ac:dyDescent="0.2">
      <c r="A37" s="5"/>
      <c r="C37" s="5"/>
      <c r="D37" s="26"/>
      <c r="E37" s="26"/>
      <c r="F37" s="26"/>
      <c r="G37" s="26"/>
      <c r="H37" s="26"/>
      <c r="I37" s="26"/>
      <c r="J37" s="26"/>
      <c r="K37" s="26"/>
      <c r="L37" s="26"/>
      <c r="M37" s="26"/>
      <c r="N37" s="26"/>
      <c r="O37" s="26"/>
      <c r="P37" s="26"/>
      <c r="Q37" s="26"/>
      <c r="R37" s="45"/>
      <c r="S37" s="53"/>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45"/>
      <c r="BC37" s="45"/>
      <c r="BD37" s="45"/>
    </row>
    <row r="38" spans="1:256" s="1" customFormat="1" ht="15.75" x14ac:dyDescent="0.25">
      <c r="A38" s="5"/>
      <c r="B38" s="4" t="s">
        <v>27</v>
      </c>
      <c r="C38" s="5"/>
      <c r="D38" s="25">
        <v>5000</v>
      </c>
      <c r="E38" s="45"/>
      <c r="F38" s="45"/>
      <c r="G38" s="45"/>
      <c r="H38" s="45"/>
      <c r="I38" s="45"/>
      <c r="J38" s="45"/>
      <c r="K38" s="45"/>
      <c r="L38" s="45"/>
      <c r="M38" s="45"/>
      <c r="N38" s="45"/>
      <c r="O38" s="45"/>
      <c r="P38" s="45"/>
      <c r="Q38" s="45"/>
      <c r="R38" s="45"/>
      <c r="S38" s="45"/>
      <c r="T38" s="45"/>
      <c r="U38" s="45"/>
      <c r="V38" s="45"/>
      <c r="W38" s="45"/>
      <c r="X38" s="45"/>
      <c r="Y38" s="45"/>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45"/>
      <c r="BC38" s="45"/>
      <c r="BD38" s="45"/>
    </row>
    <row r="39" spans="1:256" s="1" customFormat="1" ht="12" customHeight="1" x14ac:dyDescent="0.25">
      <c r="A39" s="5"/>
      <c r="B39" s="4"/>
      <c r="C39" s="5"/>
      <c r="D39" s="26"/>
      <c r="E39" s="45"/>
      <c r="F39" s="45"/>
      <c r="G39" s="45"/>
      <c r="H39" s="45"/>
      <c r="I39" s="45"/>
      <c r="J39" s="45"/>
      <c r="K39" s="45"/>
      <c r="L39" s="45"/>
      <c r="M39" s="45"/>
      <c r="N39" s="45"/>
      <c r="O39" s="45"/>
      <c r="P39" s="45"/>
      <c r="Q39" s="45"/>
      <c r="R39" s="45"/>
      <c r="S39" s="45"/>
      <c r="T39" s="45"/>
      <c r="U39" s="45"/>
      <c r="V39" s="45"/>
      <c r="W39" s="45"/>
      <c r="X39" s="45"/>
      <c r="Y39" s="45"/>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45"/>
      <c r="BC39" s="45"/>
      <c r="BD39" s="45"/>
    </row>
    <row r="40" spans="1:256" s="1" customFormat="1" ht="12" customHeight="1" x14ac:dyDescent="0.25">
      <c r="A40" s="5"/>
      <c r="B40" s="4"/>
      <c r="C40" s="5"/>
      <c r="D40" s="26"/>
      <c r="E40" s="45"/>
      <c r="F40" s="45"/>
      <c r="G40" s="45"/>
      <c r="H40" s="45"/>
      <c r="I40" s="45"/>
      <c r="J40" s="45"/>
      <c r="K40" s="45"/>
      <c r="L40" s="45"/>
      <c r="M40" s="45"/>
      <c r="N40" s="45"/>
      <c r="O40" s="45"/>
      <c r="P40" s="45"/>
      <c r="Q40" s="45"/>
      <c r="R40" s="45"/>
      <c r="S40" s="45"/>
      <c r="T40" s="45"/>
      <c r="U40" s="45"/>
      <c r="V40" s="45"/>
      <c r="W40" s="45"/>
      <c r="X40" s="45"/>
      <c r="Y40" s="45"/>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45"/>
      <c r="BC40" s="45"/>
      <c r="BD40" s="45"/>
    </row>
    <row r="41" spans="1:256" s="1" customFormat="1" ht="12" customHeight="1" x14ac:dyDescent="0.25">
      <c r="A41" s="5"/>
      <c r="B41" s="4"/>
      <c r="C41" s="5"/>
      <c r="D41" s="26"/>
      <c r="E41" s="45"/>
      <c r="F41" s="45"/>
      <c r="G41" s="45"/>
      <c r="H41" s="45"/>
      <c r="I41" s="45"/>
      <c r="J41" s="45"/>
      <c r="K41" s="45"/>
      <c r="L41" s="45"/>
      <c r="M41" s="45"/>
      <c r="N41" s="45"/>
      <c r="O41" s="45"/>
      <c r="P41" s="45"/>
      <c r="Q41" s="45"/>
      <c r="R41" s="45"/>
      <c r="S41" s="45"/>
      <c r="T41" s="45"/>
      <c r="U41" s="45"/>
      <c r="V41" s="45"/>
      <c r="W41" s="45"/>
      <c r="X41" s="45"/>
      <c r="Y41" s="45"/>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45"/>
      <c r="BC41" s="45"/>
      <c r="BD41" s="45"/>
    </row>
    <row r="42" spans="1:256" s="1" customFormat="1" ht="12" customHeight="1" x14ac:dyDescent="0.25">
      <c r="A42" s="5"/>
      <c r="B42" s="4"/>
      <c r="C42" s="5"/>
      <c r="D42" s="26"/>
      <c r="E42" s="45"/>
      <c r="F42" s="45"/>
      <c r="G42" s="45"/>
      <c r="H42" s="45"/>
      <c r="I42" s="45"/>
      <c r="J42" s="45"/>
      <c r="K42" s="45"/>
      <c r="L42" s="45"/>
      <c r="M42" s="45"/>
      <c r="N42" s="45"/>
      <c r="O42" s="45"/>
      <c r="P42" s="45"/>
      <c r="Q42" s="45"/>
      <c r="R42" s="45"/>
      <c r="S42" s="45"/>
      <c r="T42" s="45"/>
      <c r="U42" s="45"/>
      <c r="V42" s="45"/>
      <c r="W42" s="45"/>
      <c r="X42" s="45"/>
      <c r="Y42" s="45"/>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45"/>
      <c r="BC42" s="45"/>
      <c r="BD42" s="45"/>
    </row>
    <row r="43" spans="1:256" s="1" customFormat="1" ht="12" customHeight="1" x14ac:dyDescent="0.25">
      <c r="A43" s="5"/>
      <c r="B43" s="4"/>
      <c r="C43" s="5"/>
      <c r="D43" s="26"/>
      <c r="E43" s="45"/>
      <c r="F43" s="45"/>
      <c r="G43" s="45"/>
      <c r="H43" s="45"/>
      <c r="I43" s="45"/>
      <c r="J43" s="45"/>
      <c r="K43" s="45"/>
      <c r="L43" s="45"/>
      <c r="M43" s="45"/>
      <c r="N43" s="45"/>
      <c r="O43" s="45"/>
      <c r="P43" s="45"/>
      <c r="Q43" s="45"/>
      <c r="R43" s="45"/>
      <c r="S43" s="45"/>
      <c r="T43" s="45"/>
      <c r="U43" s="45"/>
      <c r="V43" s="45"/>
      <c r="W43" s="45"/>
      <c r="X43" s="45"/>
      <c r="Y43" s="45"/>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45"/>
      <c r="BC43" s="45"/>
      <c r="BD43" s="45"/>
    </row>
    <row r="44" spans="1:256" s="1" customFormat="1" ht="12" customHeight="1" x14ac:dyDescent="0.25">
      <c r="A44" s="5"/>
      <c r="B44" s="4"/>
      <c r="C44" s="5"/>
      <c r="D44" s="26"/>
      <c r="E44" s="45"/>
      <c r="F44" s="45"/>
      <c r="G44" s="45"/>
      <c r="H44" s="45"/>
      <c r="I44" s="45"/>
      <c r="J44" s="45"/>
      <c r="K44" s="45"/>
      <c r="L44" s="45"/>
      <c r="M44" s="45"/>
      <c r="N44" s="45"/>
      <c r="O44" s="45"/>
      <c r="P44" s="45"/>
      <c r="Q44" s="45"/>
      <c r="R44" s="45"/>
      <c r="S44" s="45"/>
      <c r="T44" s="45"/>
      <c r="U44" s="45"/>
      <c r="V44" s="45"/>
      <c r="W44" s="45"/>
      <c r="X44" s="45"/>
      <c r="Y44" s="4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45"/>
      <c r="BC44" s="45"/>
      <c r="BD44" s="45"/>
    </row>
    <row r="45" spans="1:256" s="1" customFormat="1" ht="12" customHeight="1" x14ac:dyDescent="0.25">
      <c r="A45" s="5"/>
      <c r="B45" s="4"/>
      <c r="C45" s="5"/>
      <c r="D45" s="26"/>
      <c r="E45" s="45"/>
      <c r="F45" s="45"/>
      <c r="G45" s="45"/>
      <c r="H45" s="45"/>
      <c r="I45" s="45"/>
      <c r="J45" s="45"/>
      <c r="K45" s="45"/>
      <c r="L45" s="45"/>
      <c r="M45" s="45"/>
      <c r="N45" s="45"/>
      <c r="O45" s="45"/>
      <c r="P45" s="45"/>
      <c r="Q45" s="45"/>
      <c r="R45" s="45"/>
      <c r="S45" s="45"/>
      <c r="T45" s="45"/>
      <c r="U45" s="45"/>
      <c r="V45" s="45"/>
      <c r="W45" s="45"/>
      <c r="X45" s="45"/>
      <c r="Y45" s="4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45"/>
      <c r="BC45" s="45"/>
      <c r="BD45" s="45"/>
    </row>
    <row r="46" spans="1:256" s="1" customFormat="1" ht="12" customHeight="1" x14ac:dyDescent="0.25">
      <c r="A46" s="5"/>
      <c r="B46" s="4"/>
      <c r="C46" s="5"/>
      <c r="D46" s="26"/>
      <c r="E46" s="45"/>
      <c r="F46" s="45"/>
      <c r="G46" s="45"/>
      <c r="H46" s="45"/>
      <c r="I46" s="45"/>
      <c r="J46" s="45"/>
      <c r="K46" s="45"/>
      <c r="L46" s="45"/>
      <c r="M46" s="45"/>
      <c r="N46" s="45"/>
      <c r="O46" s="45"/>
      <c r="P46" s="45"/>
      <c r="Q46" s="45"/>
      <c r="R46" s="45"/>
      <c r="S46" s="45"/>
      <c r="T46" s="45"/>
      <c r="U46" s="45"/>
      <c r="V46" s="45"/>
      <c r="W46" s="45"/>
      <c r="X46" s="45"/>
      <c r="Y46" s="4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45"/>
      <c r="BC46" s="45"/>
      <c r="BD46" s="45"/>
    </row>
    <row r="47" spans="1:256" s="1" customFormat="1" ht="12" customHeight="1" x14ac:dyDescent="0.25">
      <c r="A47" s="5"/>
      <c r="B47" s="4"/>
      <c r="C47" s="5"/>
      <c r="D47" s="26"/>
      <c r="E47" s="45"/>
      <c r="F47" s="45"/>
      <c r="G47" s="45"/>
      <c r="H47" s="45"/>
      <c r="I47" s="45"/>
      <c r="J47" s="45"/>
      <c r="K47" s="45"/>
      <c r="L47" s="45"/>
      <c r="M47" s="45"/>
      <c r="N47" s="45"/>
      <c r="O47" s="45"/>
      <c r="P47" s="45"/>
      <c r="Q47" s="45"/>
      <c r="R47" s="45"/>
      <c r="S47" s="45"/>
      <c r="T47" s="45"/>
      <c r="U47" s="45"/>
      <c r="V47" s="45"/>
      <c r="W47" s="45"/>
      <c r="X47" s="45"/>
      <c r="Y47" s="4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45"/>
      <c r="BC47" s="45"/>
      <c r="BD47" s="45"/>
    </row>
    <row r="48" spans="1:256" s="1" customFormat="1" ht="12.75" customHeight="1" x14ac:dyDescent="0.25">
      <c r="A48" s="5"/>
      <c r="B48" s="4"/>
      <c r="C48" s="5"/>
      <c r="D48" s="26"/>
      <c r="E48" s="45"/>
      <c r="F48" s="45"/>
      <c r="G48" s="45"/>
      <c r="H48" s="45"/>
      <c r="I48" s="45"/>
      <c r="J48" s="45"/>
      <c r="K48" s="45"/>
      <c r="L48" s="45"/>
      <c r="M48" s="45"/>
      <c r="N48" s="45"/>
      <c r="O48" s="45"/>
      <c r="P48" s="45"/>
      <c r="Q48" s="45"/>
      <c r="R48" s="45"/>
      <c r="S48" s="45"/>
      <c r="T48" s="45"/>
      <c r="U48" s="45"/>
      <c r="V48" s="45"/>
      <c r="W48" s="45"/>
      <c r="X48" s="45"/>
      <c r="Y48" s="4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45"/>
      <c r="BC48" s="45"/>
      <c r="BD48" s="45"/>
    </row>
    <row r="49" spans="1:56" s="1" customFormat="1" ht="12" customHeight="1" x14ac:dyDescent="0.25">
      <c r="A49" s="5"/>
      <c r="B49" s="4"/>
      <c r="C49" s="5"/>
      <c r="D49" s="26"/>
      <c r="E49" s="45"/>
      <c r="F49" s="45"/>
      <c r="G49" s="45"/>
      <c r="H49" s="45"/>
      <c r="I49" s="45"/>
      <c r="J49" s="45"/>
      <c r="K49" s="45"/>
      <c r="L49" s="45"/>
      <c r="M49" s="45"/>
      <c r="N49" s="45"/>
      <c r="O49" s="45"/>
      <c r="P49" s="45"/>
      <c r="Q49" s="45"/>
      <c r="R49" s="45"/>
      <c r="S49" s="45"/>
      <c r="T49" s="45"/>
      <c r="U49" s="45"/>
      <c r="V49" s="45"/>
      <c r="W49" s="45"/>
      <c r="X49" s="45"/>
      <c r="Y49" s="4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45"/>
      <c r="BC49" s="45"/>
      <c r="BD49" s="45"/>
    </row>
    <row r="50" spans="1:56" s="1" customFormat="1" ht="12" customHeight="1" x14ac:dyDescent="0.25">
      <c r="A50" s="5"/>
      <c r="B50" s="4"/>
      <c r="C50" s="5"/>
      <c r="D50" s="26"/>
      <c r="E50" s="45"/>
      <c r="F50" s="45"/>
      <c r="G50" s="45"/>
      <c r="H50" s="45"/>
      <c r="I50" s="45"/>
      <c r="J50" s="45"/>
      <c r="K50" s="45"/>
      <c r="L50" s="45"/>
      <c r="M50" s="45"/>
      <c r="N50" s="45"/>
      <c r="O50" s="45"/>
      <c r="P50" s="45"/>
      <c r="Q50" s="45"/>
      <c r="R50" s="45"/>
      <c r="S50" s="45"/>
      <c r="T50" s="45"/>
      <c r="U50" s="45"/>
      <c r="V50" s="45"/>
      <c r="W50" s="45"/>
      <c r="X50" s="45"/>
      <c r="Y50" s="45"/>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45"/>
      <c r="BC50" s="45"/>
      <c r="BD50" s="45"/>
    </row>
    <row r="51" spans="1:56" s="1" customFormat="1" ht="12" customHeight="1" x14ac:dyDescent="0.25">
      <c r="A51" s="5"/>
      <c r="B51" s="4"/>
      <c r="C51" s="5"/>
      <c r="D51" s="26"/>
      <c r="E51" s="45"/>
      <c r="F51" s="45"/>
      <c r="G51" s="45"/>
      <c r="H51" s="45"/>
      <c r="I51" s="45"/>
      <c r="J51" s="45"/>
      <c r="K51" s="45"/>
      <c r="L51" s="45"/>
      <c r="M51" s="45"/>
      <c r="N51" s="45"/>
      <c r="O51" s="45"/>
      <c r="P51" s="45"/>
      <c r="Q51" s="45"/>
      <c r="R51" s="45"/>
      <c r="S51" s="45"/>
      <c r="T51" s="45"/>
      <c r="U51" s="45"/>
      <c r="V51" s="45"/>
      <c r="W51" s="45"/>
      <c r="X51" s="45"/>
      <c r="Y51" s="45"/>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45"/>
      <c r="BC51" s="45"/>
      <c r="BD51" s="45"/>
    </row>
    <row r="52" spans="1:56" s="1" customFormat="1" ht="12" customHeight="1" x14ac:dyDescent="0.25">
      <c r="A52" s="5"/>
      <c r="B52" s="4"/>
      <c r="C52" s="5"/>
      <c r="D52" s="26"/>
      <c r="E52" s="45"/>
      <c r="F52" s="45"/>
      <c r="G52" s="45"/>
      <c r="H52" s="45"/>
      <c r="I52" s="45"/>
      <c r="J52" s="45"/>
      <c r="K52" s="45"/>
      <c r="L52" s="45"/>
      <c r="M52" s="45"/>
      <c r="N52" s="45"/>
      <c r="O52" s="45"/>
      <c r="P52" s="45"/>
      <c r="Q52" s="45"/>
      <c r="R52" s="45"/>
      <c r="S52" s="45"/>
      <c r="T52" s="45"/>
      <c r="U52" s="45"/>
      <c r="V52" s="45"/>
      <c r="W52" s="45"/>
      <c r="X52" s="45"/>
      <c r="Y52" s="45"/>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45"/>
      <c r="BC52" s="45"/>
      <c r="BD52" s="45"/>
    </row>
    <row r="53" spans="1:56" s="1" customFormat="1" x14ac:dyDescent="0.2">
      <c r="A53" s="5"/>
      <c r="B53" s="5"/>
      <c r="C53" s="5"/>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45"/>
      <c r="BC53" s="45"/>
      <c r="BD53" s="45"/>
    </row>
    <row r="54" spans="1:56" s="1" customFormat="1" x14ac:dyDescent="0.2">
      <c r="A54" s="5"/>
      <c r="B54" s="5"/>
      <c r="C54" s="5"/>
      <c r="D54" s="63">
        <v>1</v>
      </c>
      <c r="E54" s="72">
        <v>2</v>
      </c>
      <c r="F54" s="71">
        <v>3</v>
      </c>
      <c r="G54" s="52">
        <v>4</v>
      </c>
      <c r="H54" s="71">
        <v>5</v>
      </c>
      <c r="I54" s="72">
        <v>6</v>
      </c>
      <c r="J54" s="73">
        <v>7</v>
      </c>
      <c r="K54" s="72">
        <v>8</v>
      </c>
      <c r="L54" s="71">
        <v>9</v>
      </c>
      <c r="M54" s="52">
        <v>10</v>
      </c>
      <c r="N54" s="71">
        <v>11</v>
      </c>
      <c r="O54" s="72">
        <v>12</v>
      </c>
      <c r="P54" s="73">
        <v>13</v>
      </c>
      <c r="Q54" s="72">
        <v>14</v>
      </c>
      <c r="R54" s="71">
        <v>15</v>
      </c>
      <c r="S54" s="52">
        <v>16</v>
      </c>
      <c r="T54" s="71">
        <v>17</v>
      </c>
      <c r="U54" s="71">
        <v>18</v>
      </c>
      <c r="V54" s="52">
        <v>19</v>
      </c>
      <c r="W54" s="71">
        <v>20</v>
      </c>
      <c r="X54" s="72">
        <v>21</v>
      </c>
      <c r="Y54" s="73">
        <v>22</v>
      </c>
      <c r="Z54" s="72">
        <v>23</v>
      </c>
      <c r="AA54" s="71">
        <v>24</v>
      </c>
      <c r="AB54" s="52">
        <v>25</v>
      </c>
      <c r="AC54" s="71">
        <v>26</v>
      </c>
      <c r="AD54" s="72">
        <v>27</v>
      </c>
      <c r="AE54" s="73">
        <v>28</v>
      </c>
      <c r="AF54" s="72">
        <v>29</v>
      </c>
      <c r="AG54" s="71">
        <v>30</v>
      </c>
      <c r="AH54" s="52">
        <v>31</v>
      </c>
      <c r="AI54" s="71">
        <v>32</v>
      </c>
      <c r="AJ54" s="71">
        <v>33</v>
      </c>
      <c r="AK54" s="52">
        <v>34</v>
      </c>
      <c r="AL54" s="71">
        <v>35</v>
      </c>
      <c r="AM54" s="72">
        <v>36</v>
      </c>
      <c r="AN54" s="73">
        <v>37</v>
      </c>
      <c r="AO54" s="72">
        <v>38</v>
      </c>
      <c r="AP54" s="71">
        <v>39</v>
      </c>
      <c r="AQ54" s="52">
        <v>40</v>
      </c>
      <c r="AR54" s="71">
        <v>41</v>
      </c>
      <c r="AS54" s="72">
        <v>42</v>
      </c>
      <c r="AT54" s="73">
        <v>43</v>
      </c>
      <c r="AU54" s="72">
        <v>44</v>
      </c>
      <c r="AV54" s="71">
        <v>45</v>
      </c>
      <c r="AW54" s="52">
        <v>46</v>
      </c>
      <c r="AX54" s="71">
        <v>47</v>
      </c>
      <c r="AY54" s="72">
        <v>48</v>
      </c>
      <c r="AZ54" s="73">
        <v>49</v>
      </c>
      <c r="BA54" s="72">
        <v>50</v>
      </c>
      <c r="BB54" s="45"/>
      <c r="BC54" s="45"/>
      <c r="BD54" s="45"/>
    </row>
    <row r="55" spans="1:56" s="1" customFormat="1" ht="16.5" customHeight="1" x14ac:dyDescent="0.25">
      <c r="A55" s="5"/>
      <c r="B55" s="4" t="s">
        <v>79</v>
      </c>
      <c r="C55" s="6"/>
      <c r="E55" s="66"/>
      <c r="F55" s="66"/>
      <c r="G55" s="66"/>
      <c r="H55" s="66"/>
      <c r="J55" s="66"/>
      <c r="K55" s="66"/>
      <c r="L55" s="66"/>
      <c r="M55" s="66"/>
      <c r="N55" s="66"/>
      <c r="O55" s="66"/>
      <c r="P55" s="66"/>
      <c r="Q55" s="66"/>
      <c r="R55" s="66"/>
      <c r="S55" s="66"/>
      <c r="T55" s="66"/>
      <c r="U55" s="66"/>
      <c r="V55" s="66"/>
      <c r="W55" s="66"/>
      <c r="X55" s="66"/>
      <c r="Y55" s="66"/>
      <c r="Z55" s="66"/>
      <c r="AA55" s="66"/>
      <c r="AB55" s="66"/>
      <c r="AC55" s="66"/>
      <c r="AE55" s="66"/>
      <c r="AF55" s="66"/>
      <c r="AG55" s="66"/>
      <c r="AH55" s="66"/>
      <c r="AI55" s="66"/>
      <c r="AJ55" s="66"/>
      <c r="AK55" s="66"/>
      <c r="AL55" s="66"/>
      <c r="AM55" s="66"/>
      <c r="AN55" s="66"/>
      <c r="AO55" s="66"/>
      <c r="AP55" s="66"/>
      <c r="AQ55" s="66"/>
      <c r="AR55" s="66"/>
      <c r="AS55" s="66"/>
      <c r="AT55" s="66"/>
      <c r="AU55" s="66"/>
      <c r="AV55" s="66"/>
      <c r="AW55" s="66"/>
      <c r="AX55" s="66"/>
      <c r="AY55" s="66"/>
      <c r="AZ55" s="66"/>
      <c r="BB55" s="45"/>
      <c r="BC55" s="45"/>
      <c r="BD55" s="45"/>
    </row>
    <row r="56" spans="1:56" s="1" customFormat="1" ht="12" customHeight="1" x14ac:dyDescent="0.2">
      <c r="A56" s="5"/>
      <c r="B56" s="84" t="s">
        <v>82</v>
      </c>
      <c r="C56" s="6"/>
      <c r="D56" s="132">
        <f t="shared" ref="D56:AI56" si="9">IF(D92,"",IF(ISBLANK(D9),"",SQRT(D87)))</f>
        <v>0.20954076237674985</v>
      </c>
      <c r="E56" s="132">
        <f t="shared" si="9"/>
        <v>0.18474890847723935</v>
      </c>
      <c r="F56" s="132">
        <f t="shared" si="9"/>
        <v>0.17666637179143377</v>
      </c>
      <c r="G56" s="132">
        <f t="shared" si="9"/>
        <v>0.1506685510997659</v>
      </c>
      <c r="H56" s="132">
        <f t="shared" si="9"/>
        <v>0.15092431326071457</v>
      </c>
      <c r="I56" s="132">
        <f t="shared" si="9"/>
        <v>0.13402888227459372</v>
      </c>
      <c r="J56" s="132">
        <f t="shared" si="9"/>
        <v>0.12915306144446134</v>
      </c>
      <c r="K56" s="132">
        <f t="shared" si="9"/>
        <v>0.12418262207067063</v>
      </c>
      <c r="L56" s="132">
        <f t="shared" si="9"/>
        <v>0.11983552921221802</v>
      </c>
      <c r="M56" s="132">
        <f t="shared" si="9"/>
        <v>0.11475416756635864</v>
      </c>
      <c r="N56" s="132">
        <f t="shared" si="9"/>
        <v>0.11516663171493736</v>
      </c>
      <c r="O56" s="132">
        <f t="shared" si="9"/>
        <v>0.11467488628406824</v>
      </c>
      <c r="P56" s="132">
        <f t="shared" si="9"/>
        <v>0.11579686665422792</v>
      </c>
      <c r="Q56" s="132">
        <f t="shared" si="9"/>
        <v>0.11645526748104737</v>
      </c>
      <c r="R56" s="132">
        <f t="shared" si="9"/>
        <v>0.11667161290306338</v>
      </c>
      <c r="S56" s="132">
        <f t="shared" si="9"/>
        <v>0.11647054761899905</v>
      </c>
      <c r="T56" s="132">
        <f t="shared" si="9"/>
        <v>0.11587798832856738</v>
      </c>
      <c r="U56" s="132">
        <f t="shared" si="9"/>
        <v>0.11492001614450878</v>
      </c>
      <c r="V56" s="132">
        <f t="shared" si="9"/>
        <v>0.11362223746681609</v>
      </c>
      <c r="W56" s="132">
        <f t="shared" si="9"/>
        <v>0.11200944370968546</v>
      </c>
      <c r="X56" s="132">
        <f t="shared" si="9"/>
        <v>0.11474898152563848</v>
      </c>
      <c r="Y56" s="132">
        <f t="shared" si="9"/>
        <v>0.11666934439652564</v>
      </c>
      <c r="Z56" s="132">
        <f t="shared" si="9"/>
        <v>0.12204334598194004</v>
      </c>
      <c r="AA56" s="132">
        <f t="shared" si="9"/>
        <v>0.12881420372149838</v>
      </c>
      <c r="AB56" s="132">
        <f t="shared" si="9"/>
        <v>0.13841386729548152</v>
      </c>
      <c r="AC56" s="132">
        <f t="shared" si="9"/>
        <v>0.13848641713156321</v>
      </c>
      <c r="AD56" s="132">
        <f t="shared" si="9"/>
        <v>0.151803977692754</v>
      </c>
      <c r="AE56" s="132">
        <f t="shared" si="9"/>
        <v>0.15556041719394237</v>
      </c>
      <c r="AF56" s="132">
        <f t="shared" si="9"/>
        <v>0.16001361404658687</v>
      </c>
      <c r="AG56" s="132">
        <f t="shared" si="9"/>
        <v>0.17434411779312176</v>
      </c>
      <c r="AH56" s="132">
        <f t="shared" si="9"/>
        <v>0.17612126403780079</v>
      </c>
      <c r="AI56" s="132">
        <f t="shared" si="9"/>
        <v>0.19000056140562599</v>
      </c>
      <c r="AJ56" s="132">
        <f t="shared" ref="AJ56:BA56" si="10">IF(AJ92,"",IF(ISBLANK(AJ9),"",SQRT(AJ87)))</f>
        <v>0.20466090218237307</v>
      </c>
      <c r="AK56" s="132">
        <f t="shared" si="10"/>
        <v>0.21600416699481007</v>
      </c>
      <c r="AL56" s="132">
        <f t="shared" si="10"/>
        <v>0.22365450211354682</v>
      </c>
      <c r="AM56" s="132">
        <f t="shared" si="10"/>
        <v>0.25289345351453812</v>
      </c>
      <c r="AN56" s="132">
        <f t="shared" si="10"/>
        <v>0.28449184679419437</v>
      </c>
      <c r="AO56" s="132">
        <f t="shared" si="10"/>
        <v>0.28554694672584841</v>
      </c>
      <c r="AP56" s="132">
        <f t="shared" si="10"/>
        <v>0.30392845142725455</v>
      </c>
      <c r="AQ56" s="132">
        <f t="shared" si="10"/>
        <v>0.32338792776519137</v>
      </c>
      <c r="AR56" s="132" t="str">
        <f t="shared" si="10"/>
        <v/>
      </c>
      <c r="AS56" s="132" t="str">
        <f t="shared" si="10"/>
        <v/>
      </c>
      <c r="AT56" s="132" t="str">
        <f t="shared" si="10"/>
        <v/>
      </c>
      <c r="AU56" s="132" t="str">
        <f t="shared" si="10"/>
        <v/>
      </c>
      <c r="AV56" s="132">
        <f t="shared" si="10"/>
        <v>0.61006952127693159</v>
      </c>
      <c r="AW56" s="132" t="str">
        <f t="shared" si="10"/>
        <v/>
      </c>
      <c r="AX56" s="132" t="str">
        <f t="shared" si="10"/>
        <v/>
      </c>
      <c r="AY56" s="132" t="str">
        <f t="shared" si="10"/>
        <v/>
      </c>
      <c r="AZ56" s="132" t="str">
        <f t="shared" si="10"/>
        <v/>
      </c>
      <c r="BA56" s="133" t="str">
        <f t="shared" si="10"/>
        <v/>
      </c>
      <c r="BB56" s="45"/>
      <c r="BC56" s="45"/>
      <c r="BD56" s="45"/>
    </row>
    <row r="57" spans="1:56" s="1" customFormat="1" ht="12" customHeight="1" x14ac:dyDescent="0.2">
      <c r="A57" s="5"/>
      <c r="B57" s="84" t="s">
        <v>78</v>
      </c>
      <c r="C57" s="6"/>
      <c r="D57" s="81">
        <f t="shared" ref="D57:AI57" si="11">IF(D92,"",IF(ISBLANK(D9),"",SQRT(D85)))</f>
        <v>0.55174264455275102</v>
      </c>
      <c r="E57" s="100">
        <f t="shared" si="11"/>
        <v>0.46423946139365113</v>
      </c>
      <c r="F57" s="103">
        <f t="shared" si="11"/>
        <v>0.42752723457632719</v>
      </c>
      <c r="G57" s="100">
        <f t="shared" si="11"/>
        <v>0.37879177271858622</v>
      </c>
      <c r="H57" s="103">
        <f t="shared" si="11"/>
        <v>0.35991619698977256</v>
      </c>
      <c r="I57" s="100">
        <f t="shared" si="11"/>
        <v>0.32930832710575114</v>
      </c>
      <c r="J57" s="103">
        <f t="shared" si="11"/>
        <v>0.31469033747041969</v>
      </c>
      <c r="K57" s="100">
        <f t="shared" si="11"/>
        <v>0.30152156793964946</v>
      </c>
      <c r="L57" s="103">
        <f t="shared" si="11"/>
        <v>0.28984277363190286</v>
      </c>
      <c r="M57" s="100">
        <f t="shared" si="11"/>
        <v>0.27889104691871586</v>
      </c>
      <c r="N57" s="103">
        <f t="shared" si="11"/>
        <v>0.27687838908909956</v>
      </c>
      <c r="O57" s="100">
        <f t="shared" si="11"/>
        <v>0.27447309839861189</v>
      </c>
      <c r="P57" s="103">
        <f t="shared" si="11"/>
        <v>0.2727441666852603</v>
      </c>
      <c r="Q57" s="100">
        <f t="shared" si="11"/>
        <v>0.27083600700816457</v>
      </c>
      <c r="R57" s="103">
        <f t="shared" si="11"/>
        <v>0.2687590587412963</v>
      </c>
      <c r="S57" s="100">
        <f t="shared" si="11"/>
        <v>0.26652513413176976</v>
      </c>
      <c r="T57" s="103">
        <f t="shared" si="11"/>
        <v>0.26414688330943931</v>
      </c>
      <c r="U57" s="100">
        <f t="shared" si="11"/>
        <v>0.26163742717360039</v>
      </c>
      <c r="V57" s="103">
        <f t="shared" si="11"/>
        <v>0.25901010975853206</v>
      </c>
      <c r="W57" s="100">
        <f t="shared" si="11"/>
        <v>0.25627833573407532</v>
      </c>
      <c r="X57" s="103">
        <f t="shared" si="11"/>
        <v>0.25777677933573306</v>
      </c>
      <c r="Y57" s="100">
        <f t="shared" si="11"/>
        <v>0.25877966265031682</v>
      </c>
      <c r="Z57" s="103">
        <f t="shared" si="11"/>
        <v>0.26335019895794448</v>
      </c>
      <c r="AA57" s="100">
        <f t="shared" si="11"/>
        <v>0.27243403357608781</v>
      </c>
      <c r="AB57" s="103">
        <f t="shared" si="11"/>
        <v>0.28248600842105498</v>
      </c>
      <c r="AC57" s="100">
        <f t="shared" si="11"/>
        <v>0.28754414011875029</v>
      </c>
      <c r="AD57" s="103">
        <f t="shared" si="11"/>
        <v>0.29877607636660186</v>
      </c>
      <c r="AE57" s="100">
        <f t="shared" si="11"/>
        <v>0.30496439782146539</v>
      </c>
      <c r="AF57" s="103">
        <f t="shared" si="11"/>
        <v>0.31438942790789226</v>
      </c>
      <c r="AG57" s="100">
        <f t="shared" si="11"/>
        <v>0.32891972776271011</v>
      </c>
      <c r="AH57" s="103">
        <f t="shared" si="11"/>
        <v>0.33689105385420798</v>
      </c>
      <c r="AI57" s="100">
        <f t="shared" si="11"/>
        <v>0.35127661955641404</v>
      </c>
      <c r="AJ57" s="103">
        <f t="shared" ref="AJ57:BA57" si="12">IF(AJ92,"",IF(ISBLANK(AJ9),"",SQRT(AJ85)))</f>
        <v>0.37588523141342817</v>
      </c>
      <c r="AK57" s="100">
        <f t="shared" si="12"/>
        <v>0.3993596907837656</v>
      </c>
      <c r="AL57" s="103">
        <f t="shared" si="12"/>
        <v>0.42165101174333225</v>
      </c>
      <c r="AM57" s="100">
        <f t="shared" si="12"/>
        <v>0.45651020471492676</v>
      </c>
      <c r="AN57" s="103">
        <f t="shared" si="12"/>
        <v>0.49403902923325327</v>
      </c>
      <c r="AO57" s="100">
        <f t="shared" si="12"/>
        <v>0.51547275201504117</v>
      </c>
      <c r="AP57" s="103">
        <f t="shared" si="12"/>
        <v>0.53926725199797432</v>
      </c>
      <c r="AQ57" s="100">
        <f t="shared" si="12"/>
        <v>0.56442950793810176</v>
      </c>
      <c r="AR57" s="103" t="str">
        <f t="shared" si="12"/>
        <v/>
      </c>
      <c r="AS57" s="100" t="str">
        <f t="shared" si="12"/>
        <v/>
      </c>
      <c r="AT57" s="103" t="str">
        <f t="shared" si="12"/>
        <v/>
      </c>
      <c r="AU57" s="100" t="str">
        <f t="shared" si="12"/>
        <v/>
      </c>
      <c r="AV57" s="103">
        <f t="shared" si="12"/>
        <v>0.98570406194973281</v>
      </c>
      <c r="AW57" s="100" t="str">
        <f t="shared" si="12"/>
        <v/>
      </c>
      <c r="AX57" s="103" t="str">
        <f t="shared" si="12"/>
        <v/>
      </c>
      <c r="AY57" s="100" t="str">
        <f t="shared" si="12"/>
        <v/>
      </c>
      <c r="AZ57" s="103" t="str">
        <f t="shared" si="12"/>
        <v/>
      </c>
      <c r="BA57" s="107" t="str">
        <f t="shared" si="12"/>
        <v/>
      </c>
      <c r="BB57" s="45"/>
      <c r="BC57" s="45"/>
      <c r="BD57" s="45"/>
    </row>
    <row r="58" spans="1:56" s="1" customFormat="1" x14ac:dyDescent="0.2">
      <c r="A58" s="5"/>
      <c r="B58" s="6"/>
      <c r="C58" s="5"/>
      <c r="D58" s="64"/>
      <c r="E58" s="45"/>
      <c r="F58" s="66"/>
      <c r="G58" s="45"/>
      <c r="H58" s="66"/>
      <c r="I58" s="45"/>
      <c r="J58" s="66"/>
      <c r="K58" s="45"/>
      <c r="L58" s="66"/>
      <c r="M58" s="45"/>
      <c r="N58" s="66"/>
      <c r="O58" s="45"/>
      <c r="P58" s="66"/>
      <c r="Q58" s="45"/>
      <c r="R58" s="66"/>
      <c r="S58" s="45"/>
      <c r="T58" s="66"/>
      <c r="U58" s="45"/>
      <c r="V58" s="66"/>
      <c r="W58" s="45"/>
      <c r="X58" s="66"/>
      <c r="Y58" s="45"/>
      <c r="Z58" s="66"/>
      <c r="AA58" s="45"/>
      <c r="AB58" s="66"/>
      <c r="AC58" s="45"/>
      <c r="AD58" s="66"/>
      <c r="AE58" s="45"/>
      <c r="AF58" s="66"/>
      <c r="AG58" s="45"/>
      <c r="AH58" s="66"/>
      <c r="AI58" s="45"/>
      <c r="AJ58" s="66"/>
      <c r="AK58" s="45"/>
      <c r="AL58" s="66"/>
      <c r="AM58" s="45"/>
      <c r="AN58" s="66"/>
      <c r="AO58" s="45"/>
      <c r="AP58" s="66"/>
      <c r="AQ58" s="45"/>
      <c r="AR58" s="66"/>
      <c r="AS58" s="45"/>
      <c r="AT58" s="66"/>
      <c r="AU58" s="45"/>
      <c r="AV58" s="66"/>
      <c r="AW58" s="45"/>
      <c r="AX58" s="66"/>
      <c r="AY58" s="45"/>
      <c r="AZ58" s="66"/>
      <c r="BA58" s="108"/>
      <c r="BB58" s="45"/>
      <c r="BC58" s="45"/>
      <c r="BD58" s="45"/>
    </row>
    <row r="59" spans="1:56" s="1" customFormat="1" ht="15.75" x14ac:dyDescent="0.25">
      <c r="A59" s="5"/>
      <c r="B59" s="4" t="s">
        <v>64</v>
      </c>
      <c r="C59" s="5"/>
      <c r="D59" s="58"/>
      <c r="E59" s="26"/>
      <c r="F59" s="70"/>
      <c r="G59" s="26"/>
      <c r="H59" s="70"/>
      <c r="I59" s="26"/>
      <c r="J59" s="70"/>
      <c r="K59" s="26"/>
      <c r="L59" s="70"/>
      <c r="M59" s="26"/>
      <c r="N59" s="70"/>
      <c r="O59" s="26"/>
      <c r="P59" s="70"/>
      <c r="Q59" s="26"/>
      <c r="R59" s="70"/>
      <c r="S59" s="26"/>
      <c r="T59" s="70"/>
      <c r="U59" s="26"/>
      <c r="V59" s="70"/>
      <c r="W59" s="26"/>
      <c r="X59" s="70"/>
      <c r="Y59" s="26"/>
      <c r="Z59" s="70"/>
      <c r="AA59" s="26"/>
      <c r="AB59" s="70"/>
      <c r="AC59" s="26"/>
      <c r="AD59" s="70"/>
      <c r="AE59" s="26"/>
      <c r="AF59" s="70"/>
      <c r="AG59" s="26"/>
      <c r="AH59" s="70"/>
      <c r="AI59" s="26"/>
      <c r="AJ59" s="70"/>
      <c r="AK59" s="26"/>
      <c r="AL59" s="70"/>
      <c r="AM59" s="26"/>
      <c r="AN59" s="70"/>
      <c r="AO59" s="26"/>
      <c r="AP59" s="70"/>
      <c r="AQ59" s="26"/>
      <c r="AR59" s="70"/>
      <c r="AS59" s="26"/>
      <c r="AT59" s="70"/>
      <c r="AU59" s="26"/>
      <c r="AV59" s="70"/>
      <c r="AW59" s="26"/>
      <c r="AX59" s="70"/>
      <c r="AY59" s="26"/>
      <c r="AZ59" s="70"/>
      <c r="BA59" s="109"/>
      <c r="BB59" s="45"/>
      <c r="BC59" s="45"/>
      <c r="BD59" s="45"/>
    </row>
    <row r="60" spans="1:56" s="24" customFormat="1" x14ac:dyDescent="0.2">
      <c r="A60" s="21"/>
      <c r="B60" s="21" t="s">
        <v>85</v>
      </c>
      <c r="C60" s="21"/>
      <c r="D60" s="82">
        <f t="shared" ref="D60:AI60" si="13">IF(D92,"",IF(ISBLANK(D9),"",$D$35-$D$90*D57*$D$35))</f>
        <v>-1.2209356808741481E-3</v>
      </c>
      <c r="E60" s="101">
        <f t="shared" si="13"/>
        <v>1.3516106319925655E-3</v>
      </c>
      <c r="F60" s="104">
        <f t="shared" si="13"/>
        <v>2.4309302673058749E-3</v>
      </c>
      <c r="G60" s="101">
        <f t="shared" si="13"/>
        <v>3.8637265174723406E-3</v>
      </c>
      <c r="H60" s="104">
        <f t="shared" si="13"/>
        <v>4.4186582467113378E-3</v>
      </c>
      <c r="I60" s="101">
        <f t="shared" si="13"/>
        <v>5.3185130859538885E-3</v>
      </c>
      <c r="J60" s="104">
        <f t="shared" si="13"/>
        <v>5.7482740841283304E-3</v>
      </c>
      <c r="K60" s="101">
        <f t="shared" si="13"/>
        <v>6.1354287941436016E-3</v>
      </c>
      <c r="L60" s="104">
        <f t="shared" si="13"/>
        <v>6.4787790375341221E-3</v>
      </c>
      <c r="M60" s="101">
        <f t="shared" si="13"/>
        <v>6.8007538864297001E-3</v>
      </c>
      <c r="N60" s="104">
        <f t="shared" si="13"/>
        <v>6.8599249393184562E-3</v>
      </c>
      <c r="O60" s="101">
        <f t="shared" si="13"/>
        <v>6.9306391862040372E-3</v>
      </c>
      <c r="P60" s="104">
        <f t="shared" si="13"/>
        <v>6.9814688445525106E-3</v>
      </c>
      <c r="Q60" s="101">
        <f t="shared" si="13"/>
        <v>7.0375677082103981E-3</v>
      </c>
      <c r="R60" s="104">
        <f t="shared" si="13"/>
        <v>7.0986288652226184E-3</v>
      </c>
      <c r="S60" s="101">
        <f t="shared" si="13"/>
        <v>7.1643050419053639E-3</v>
      </c>
      <c r="T60" s="104">
        <f t="shared" si="13"/>
        <v>7.2342243312749216E-3</v>
      </c>
      <c r="U60" s="101">
        <f t="shared" si="13"/>
        <v>7.3080009859803315E-3</v>
      </c>
      <c r="V60" s="104">
        <f t="shared" si="13"/>
        <v>7.3852426986226634E-3</v>
      </c>
      <c r="W60" s="101">
        <f t="shared" si="13"/>
        <v>7.4655553791502204E-3</v>
      </c>
      <c r="X60" s="104">
        <f t="shared" si="13"/>
        <v>7.4215019467685165E-3</v>
      </c>
      <c r="Y60" s="101">
        <f t="shared" si="13"/>
        <v>7.392017719109311E-3</v>
      </c>
      <c r="Z60" s="104">
        <f t="shared" si="13"/>
        <v>7.2576464208145694E-3</v>
      </c>
      <c r="AA60" s="101">
        <f t="shared" si="13"/>
        <v>6.9905865904183826E-3</v>
      </c>
      <c r="AB60" s="104">
        <f t="shared" si="13"/>
        <v>6.6950639603738094E-3</v>
      </c>
      <c r="AC60" s="101">
        <f t="shared" si="13"/>
        <v>6.5463576210256589E-3</v>
      </c>
      <c r="AD60" s="104">
        <f t="shared" si="13"/>
        <v>6.2161447631890743E-3</v>
      </c>
      <c r="AE60" s="101">
        <f t="shared" si="13"/>
        <v>6.0342114555447385E-3</v>
      </c>
      <c r="AF60" s="104">
        <f t="shared" si="13"/>
        <v>5.7571206627056917E-3</v>
      </c>
      <c r="AG60" s="101">
        <f t="shared" si="13"/>
        <v>5.3299376967055351E-3</v>
      </c>
      <c r="AH60" s="104">
        <f t="shared" si="13"/>
        <v>5.0955850159801301E-3</v>
      </c>
      <c r="AI60" s="101">
        <f t="shared" si="13"/>
        <v>4.6726571558767544E-3</v>
      </c>
      <c r="AJ60" s="104">
        <f t="shared" ref="AJ60:BA60" si="14">IF(AJ92,"",IF(ISBLANK(AJ9),"",$D$35-$D$90*AJ57*$D$35))</f>
        <v>3.9491772616376576E-3</v>
      </c>
      <c r="AK60" s="101">
        <f t="shared" si="14"/>
        <v>3.2590408378015065E-3</v>
      </c>
      <c r="AL60" s="104">
        <f t="shared" si="14"/>
        <v>2.6036880440729049E-3</v>
      </c>
      <c r="AM60" s="101">
        <f t="shared" si="14"/>
        <v>1.5788466027560483E-3</v>
      </c>
      <c r="AN60" s="104">
        <f t="shared" si="14"/>
        <v>4.75519436185394E-4</v>
      </c>
      <c r="AO60" s="101">
        <f t="shared" si="14"/>
        <v>-1.5462043441840517E-4</v>
      </c>
      <c r="AP60" s="104">
        <f t="shared" si="14"/>
        <v>-8.5416587936872415E-4</v>
      </c>
      <c r="AQ60" s="101">
        <f t="shared" si="14"/>
        <v>-1.5939226105551561E-3</v>
      </c>
      <c r="AR60" s="104" t="str">
        <f t="shared" si="14"/>
        <v/>
      </c>
      <c r="AS60" s="101" t="str">
        <f t="shared" si="14"/>
        <v/>
      </c>
      <c r="AT60" s="104" t="str">
        <f t="shared" si="14"/>
        <v/>
      </c>
      <c r="AU60" s="101" t="str">
        <f t="shared" si="14"/>
        <v/>
      </c>
      <c r="AV60" s="104">
        <f t="shared" si="14"/>
        <v>-1.3979166912544711E-2</v>
      </c>
      <c r="AW60" s="101" t="str">
        <f t="shared" si="14"/>
        <v/>
      </c>
      <c r="AX60" s="104" t="str">
        <f t="shared" si="14"/>
        <v/>
      </c>
      <c r="AY60" s="101" t="str">
        <f t="shared" si="14"/>
        <v/>
      </c>
      <c r="AZ60" s="104" t="str">
        <f t="shared" si="14"/>
        <v/>
      </c>
      <c r="BA60" s="110" t="str">
        <f t="shared" si="14"/>
        <v/>
      </c>
      <c r="BB60" s="54"/>
      <c r="BC60" s="54"/>
      <c r="BD60" s="54"/>
    </row>
    <row r="61" spans="1:56" s="24" customFormat="1" x14ac:dyDescent="0.2">
      <c r="A61" s="21"/>
      <c r="B61" s="21" t="s">
        <v>86</v>
      </c>
      <c r="C61" s="21"/>
      <c r="D61" s="83">
        <f t="shared" ref="D61:AI61" si="15">IF(D92,"",IF(ISBLANK(D9),"",$D$35+$D$90*D57*$D$35))</f>
        <v>3.1220935680874147E-2</v>
      </c>
      <c r="E61" s="102">
        <f t="shared" si="15"/>
        <v>2.8648389368007433E-2</v>
      </c>
      <c r="F61" s="105">
        <f t="shared" si="15"/>
        <v>2.7569069732694122E-2</v>
      </c>
      <c r="G61" s="106">
        <f t="shared" si="15"/>
        <v>2.6136273482527658E-2</v>
      </c>
      <c r="H61" s="105">
        <f t="shared" si="15"/>
        <v>2.5581341753288661E-2</v>
      </c>
      <c r="I61" s="106">
        <f t="shared" si="15"/>
        <v>2.4681486914046112E-2</v>
      </c>
      <c r="J61" s="105">
        <f t="shared" si="15"/>
        <v>2.4251725915871668E-2</v>
      </c>
      <c r="K61" s="106">
        <f t="shared" si="15"/>
        <v>2.3864571205856396E-2</v>
      </c>
      <c r="L61" s="105">
        <f t="shared" si="15"/>
        <v>2.3521220962465877E-2</v>
      </c>
      <c r="M61" s="106">
        <f t="shared" si="15"/>
        <v>2.3199246113570299E-2</v>
      </c>
      <c r="N61" s="105">
        <f t="shared" si="15"/>
        <v>2.3140075060681543E-2</v>
      </c>
      <c r="O61" s="106">
        <f t="shared" si="15"/>
        <v>2.3069360813795962E-2</v>
      </c>
      <c r="P61" s="105">
        <f t="shared" si="15"/>
        <v>2.301853115544749E-2</v>
      </c>
      <c r="Q61" s="106">
        <f t="shared" si="15"/>
        <v>2.2962432291789601E-2</v>
      </c>
      <c r="R61" s="105">
        <f t="shared" si="15"/>
        <v>2.290137113477738E-2</v>
      </c>
      <c r="S61" s="106">
        <f t="shared" si="15"/>
        <v>2.2835694958094635E-2</v>
      </c>
      <c r="T61" s="105">
        <f t="shared" si="15"/>
        <v>2.2765775668725077E-2</v>
      </c>
      <c r="U61" s="106">
        <f t="shared" si="15"/>
        <v>2.2691999014019668E-2</v>
      </c>
      <c r="V61" s="105">
        <f t="shared" si="15"/>
        <v>2.2614757301377336E-2</v>
      </c>
      <c r="W61" s="106">
        <f t="shared" si="15"/>
        <v>2.2534444620849779E-2</v>
      </c>
      <c r="X61" s="105">
        <f t="shared" si="15"/>
        <v>2.2578498053231484E-2</v>
      </c>
      <c r="Y61" s="106">
        <f t="shared" si="15"/>
        <v>2.2607982280890688E-2</v>
      </c>
      <c r="Z61" s="105">
        <f t="shared" si="15"/>
        <v>2.2742353579185429E-2</v>
      </c>
      <c r="AA61" s="106">
        <f t="shared" si="15"/>
        <v>2.3009413409581618E-2</v>
      </c>
      <c r="AB61" s="105">
        <f t="shared" si="15"/>
        <v>2.330493603962619E-2</v>
      </c>
      <c r="AC61" s="106">
        <f t="shared" si="15"/>
        <v>2.3453642378974342E-2</v>
      </c>
      <c r="AD61" s="105">
        <f t="shared" si="15"/>
        <v>2.3783855236810925E-2</v>
      </c>
      <c r="AE61" s="106">
        <f t="shared" si="15"/>
        <v>2.396578854445526E-2</v>
      </c>
      <c r="AF61" s="105">
        <f t="shared" si="15"/>
        <v>2.4242879337294305E-2</v>
      </c>
      <c r="AG61" s="106">
        <f t="shared" si="15"/>
        <v>2.4670062303294465E-2</v>
      </c>
      <c r="AH61" s="105">
        <f t="shared" si="15"/>
        <v>2.4904414984019869E-2</v>
      </c>
      <c r="AI61" s="106">
        <f t="shared" si="15"/>
        <v>2.5327342844123246E-2</v>
      </c>
      <c r="AJ61" s="105">
        <f t="shared" ref="AJ61:BA61" si="16">IF(AJ92,"",IF(ISBLANK(AJ9),"",$D$35+$D$90*AJ57*$D$35))</f>
        <v>2.6050822738362341E-2</v>
      </c>
      <c r="AK61" s="106">
        <f t="shared" si="16"/>
        <v>2.6740959162198492E-2</v>
      </c>
      <c r="AL61" s="105">
        <f t="shared" si="16"/>
        <v>2.7396311955927094E-2</v>
      </c>
      <c r="AM61" s="106">
        <f t="shared" si="16"/>
        <v>2.8421153397243951E-2</v>
      </c>
      <c r="AN61" s="105">
        <f t="shared" si="16"/>
        <v>2.9524480563814605E-2</v>
      </c>
      <c r="AO61" s="106">
        <f t="shared" si="16"/>
        <v>3.0154620434418404E-2</v>
      </c>
      <c r="AP61" s="105">
        <f t="shared" si="16"/>
        <v>3.0854165879368723E-2</v>
      </c>
      <c r="AQ61" s="106">
        <f t="shared" si="16"/>
        <v>3.1593922610555158E-2</v>
      </c>
      <c r="AR61" s="105" t="str">
        <f t="shared" si="16"/>
        <v/>
      </c>
      <c r="AS61" s="106" t="str">
        <f t="shared" si="16"/>
        <v/>
      </c>
      <c r="AT61" s="105" t="str">
        <f t="shared" si="16"/>
        <v/>
      </c>
      <c r="AU61" s="106" t="str">
        <f t="shared" si="16"/>
        <v/>
      </c>
      <c r="AV61" s="105">
        <f t="shared" si="16"/>
        <v>4.3979166912544707E-2</v>
      </c>
      <c r="AW61" s="106" t="str">
        <f t="shared" si="16"/>
        <v/>
      </c>
      <c r="AX61" s="105" t="str">
        <f t="shared" si="16"/>
        <v/>
      </c>
      <c r="AY61" s="106" t="str">
        <f t="shared" si="16"/>
        <v/>
      </c>
      <c r="AZ61" s="105" t="str">
        <f t="shared" si="16"/>
        <v/>
      </c>
      <c r="BA61" s="111" t="str">
        <f t="shared" si="16"/>
        <v/>
      </c>
      <c r="BB61" s="54"/>
      <c r="BC61" s="54"/>
      <c r="BD61" s="54"/>
    </row>
    <row r="62" spans="1:56" s="32" customFormat="1" x14ac:dyDescent="0.2">
      <c r="A62" s="31"/>
      <c r="B62" s="31"/>
      <c r="C62" s="31"/>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55"/>
      <c r="BC62" s="55"/>
      <c r="BD62" s="55"/>
    </row>
    <row r="63" spans="1:56" s="32" customFormat="1" x14ac:dyDescent="0.2">
      <c r="A63" s="31"/>
      <c r="B63" s="31"/>
      <c r="C63" s="31"/>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55"/>
      <c r="BC63" s="55"/>
      <c r="BD63" s="55"/>
    </row>
    <row r="64" spans="1:56" s="32" customFormat="1" x14ac:dyDescent="0.2">
      <c r="A64" s="31"/>
      <c r="B64" s="121"/>
      <c r="C64" s="121"/>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c r="AE64" s="122"/>
      <c r="AF64" s="122"/>
      <c r="AG64" s="122"/>
      <c r="AH64" s="122"/>
      <c r="AI64" s="122"/>
      <c r="AJ64" s="122"/>
      <c r="AK64" s="122"/>
      <c r="AL64" s="122"/>
      <c r="AM64" s="122"/>
      <c r="AN64" s="122"/>
      <c r="AO64" s="122"/>
      <c r="AP64" s="122"/>
      <c r="AQ64" s="122"/>
      <c r="AR64" s="122"/>
      <c r="AS64" s="122"/>
      <c r="AT64" s="122"/>
      <c r="AU64" s="122"/>
      <c r="AV64" s="122"/>
      <c r="AW64" s="122"/>
      <c r="AX64" s="122"/>
      <c r="AY64" s="122"/>
      <c r="AZ64" s="122"/>
      <c r="BA64" s="122"/>
      <c r="BB64" s="123"/>
      <c r="BC64" s="55"/>
      <c r="BD64" s="55"/>
    </row>
    <row r="65" spans="1:57" s="32" customFormat="1" ht="15" x14ac:dyDescent="0.25">
      <c r="A65" s="31"/>
      <c r="B65" s="145" t="s">
        <v>60</v>
      </c>
      <c r="C65" s="3"/>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c r="AE65" s="127"/>
      <c r="AF65" s="127"/>
      <c r="AG65" s="127"/>
      <c r="AH65" s="127"/>
      <c r="AI65" s="127"/>
      <c r="AJ65" s="127"/>
      <c r="AK65" s="127"/>
      <c r="AL65" s="127"/>
      <c r="AM65" s="127"/>
      <c r="AN65" s="127"/>
      <c r="AO65" s="127"/>
      <c r="AP65" s="127"/>
      <c r="AQ65" s="127"/>
      <c r="AR65" s="127"/>
      <c r="AS65" s="127"/>
      <c r="AT65" s="127"/>
      <c r="AU65" s="127"/>
      <c r="AV65" s="127"/>
      <c r="AW65" s="127"/>
      <c r="AX65" s="127"/>
      <c r="AY65" s="127"/>
      <c r="AZ65" s="127"/>
      <c r="BA65" s="127"/>
      <c r="BB65" s="128"/>
      <c r="BC65" s="94"/>
      <c r="BD65" s="55"/>
    </row>
    <row r="66" spans="1:57" s="32" customFormat="1" x14ac:dyDescent="0.2">
      <c r="A66" s="31"/>
      <c r="B66" s="3" t="s">
        <v>14</v>
      </c>
      <c r="C66" s="3"/>
      <c r="D66" s="124">
        <f t="shared" ref="D66:AI66" si="17">IF(D92,"",IF(ISBLANK(D9),"",$D$38*(1-$D$36)))</f>
        <v>4250</v>
      </c>
      <c r="E66" s="129">
        <f t="shared" si="17"/>
        <v>4250</v>
      </c>
      <c r="F66" s="124">
        <f t="shared" si="17"/>
        <v>4250</v>
      </c>
      <c r="G66" s="129">
        <f t="shared" si="17"/>
        <v>4250</v>
      </c>
      <c r="H66" s="124">
        <f t="shared" si="17"/>
        <v>4250</v>
      </c>
      <c r="I66" s="129">
        <f t="shared" si="17"/>
        <v>4250</v>
      </c>
      <c r="J66" s="124">
        <f t="shared" si="17"/>
        <v>4250</v>
      </c>
      <c r="K66" s="129">
        <f t="shared" si="17"/>
        <v>4250</v>
      </c>
      <c r="L66" s="124">
        <f t="shared" si="17"/>
        <v>4250</v>
      </c>
      <c r="M66" s="129">
        <f t="shared" si="17"/>
        <v>4250</v>
      </c>
      <c r="N66" s="124">
        <f t="shared" si="17"/>
        <v>4250</v>
      </c>
      <c r="O66" s="129">
        <f t="shared" si="17"/>
        <v>4250</v>
      </c>
      <c r="P66" s="124">
        <f t="shared" si="17"/>
        <v>4250</v>
      </c>
      <c r="Q66" s="129">
        <f t="shared" si="17"/>
        <v>4250</v>
      </c>
      <c r="R66" s="124">
        <f t="shared" si="17"/>
        <v>4250</v>
      </c>
      <c r="S66" s="129">
        <f t="shared" si="17"/>
        <v>4250</v>
      </c>
      <c r="T66" s="124">
        <f t="shared" si="17"/>
        <v>4250</v>
      </c>
      <c r="U66" s="129">
        <f t="shared" si="17"/>
        <v>4250</v>
      </c>
      <c r="V66" s="124">
        <f t="shared" si="17"/>
        <v>4250</v>
      </c>
      <c r="W66" s="129">
        <f t="shared" si="17"/>
        <v>4250</v>
      </c>
      <c r="X66" s="124">
        <f t="shared" si="17"/>
        <v>4250</v>
      </c>
      <c r="Y66" s="129">
        <f t="shared" si="17"/>
        <v>4250</v>
      </c>
      <c r="Z66" s="124">
        <f t="shared" si="17"/>
        <v>4250</v>
      </c>
      <c r="AA66" s="129">
        <f t="shared" si="17"/>
        <v>4250</v>
      </c>
      <c r="AB66" s="124">
        <f t="shared" si="17"/>
        <v>4250</v>
      </c>
      <c r="AC66" s="129">
        <f t="shared" si="17"/>
        <v>4250</v>
      </c>
      <c r="AD66" s="124">
        <f t="shared" si="17"/>
        <v>4250</v>
      </c>
      <c r="AE66" s="129">
        <f t="shared" si="17"/>
        <v>4250</v>
      </c>
      <c r="AF66" s="124">
        <f t="shared" si="17"/>
        <v>4250</v>
      </c>
      <c r="AG66" s="129">
        <f t="shared" si="17"/>
        <v>4250</v>
      </c>
      <c r="AH66" s="124">
        <f t="shared" si="17"/>
        <v>4250</v>
      </c>
      <c r="AI66" s="129">
        <f t="shared" si="17"/>
        <v>4250</v>
      </c>
      <c r="AJ66" s="124">
        <f t="shared" ref="AJ66:BA66" si="18">IF(AJ92,"",IF(ISBLANK(AJ9),"",$D$38*(1-$D$36)))</f>
        <v>4250</v>
      </c>
      <c r="AK66" s="129">
        <f t="shared" si="18"/>
        <v>4250</v>
      </c>
      <c r="AL66" s="124">
        <f t="shared" si="18"/>
        <v>4250</v>
      </c>
      <c r="AM66" s="129">
        <f t="shared" si="18"/>
        <v>4250</v>
      </c>
      <c r="AN66" s="124">
        <f t="shared" si="18"/>
        <v>4250</v>
      </c>
      <c r="AO66" s="129">
        <f t="shared" si="18"/>
        <v>4250</v>
      </c>
      <c r="AP66" s="124">
        <f t="shared" si="18"/>
        <v>4250</v>
      </c>
      <c r="AQ66" s="129">
        <f t="shared" si="18"/>
        <v>4250</v>
      </c>
      <c r="AR66" s="124" t="str">
        <f t="shared" si="18"/>
        <v/>
      </c>
      <c r="AS66" s="129" t="str">
        <f t="shared" si="18"/>
        <v/>
      </c>
      <c r="AT66" s="124" t="str">
        <f t="shared" si="18"/>
        <v/>
      </c>
      <c r="AU66" s="129" t="str">
        <f t="shared" si="18"/>
        <v/>
      </c>
      <c r="AV66" s="124">
        <f t="shared" si="18"/>
        <v>4250</v>
      </c>
      <c r="AW66" s="129" t="str">
        <f t="shared" si="18"/>
        <v/>
      </c>
      <c r="AX66" s="124" t="str">
        <f t="shared" si="18"/>
        <v/>
      </c>
      <c r="AY66" s="129" t="str">
        <f t="shared" si="18"/>
        <v/>
      </c>
      <c r="AZ66" s="129" t="str">
        <f t="shared" si="18"/>
        <v/>
      </c>
      <c r="BA66" s="124" t="str">
        <f t="shared" si="18"/>
        <v/>
      </c>
      <c r="BB66" s="124"/>
      <c r="BC66" s="94"/>
      <c r="BD66" s="89"/>
    </row>
    <row r="67" spans="1:57" s="32" customFormat="1" x14ac:dyDescent="0.2">
      <c r="A67" s="31"/>
      <c r="B67" s="3" t="s">
        <v>17</v>
      </c>
      <c r="C67" s="3"/>
      <c r="D67" s="124">
        <f t="shared" ref="D67:AI67" si="19">IF(D92,"",IF(ISBLANK(D9),"",$D$38*$D$36))</f>
        <v>750</v>
      </c>
      <c r="E67" s="129">
        <f t="shared" si="19"/>
        <v>750</v>
      </c>
      <c r="F67" s="124">
        <f t="shared" si="19"/>
        <v>750</v>
      </c>
      <c r="G67" s="129">
        <f t="shared" si="19"/>
        <v>750</v>
      </c>
      <c r="H67" s="124">
        <f t="shared" si="19"/>
        <v>750</v>
      </c>
      <c r="I67" s="129">
        <f t="shared" si="19"/>
        <v>750</v>
      </c>
      <c r="J67" s="124">
        <f t="shared" si="19"/>
        <v>750</v>
      </c>
      <c r="K67" s="129">
        <f t="shared" si="19"/>
        <v>750</v>
      </c>
      <c r="L67" s="124">
        <f t="shared" si="19"/>
        <v>750</v>
      </c>
      <c r="M67" s="129">
        <f t="shared" si="19"/>
        <v>750</v>
      </c>
      <c r="N67" s="124">
        <f t="shared" si="19"/>
        <v>750</v>
      </c>
      <c r="O67" s="129">
        <f t="shared" si="19"/>
        <v>750</v>
      </c>
      <c r="P67" s="124">
        <f t="shared" si="19"/>
        <v>750</v>
      </c>
      <c r="Q67" s="129">
        <f t="shared" si="19"/>
        <v>750</v>
      </c>
      <c r="R67" s="124">
        <f t="shared" si="19"/>
        <v>750</v>
      </c>
      <c r="S67" s="129">
        <f t="shared" si="19"/>
        <v>750</v>
      </c>
      <c r="T67" s="124">
        <f t="shared" si="19"/>
        <v>750</v>
      </c>
      <c r="U67" s="129">
        <f t="shared" si="19"/>
        <v>750</v>
      </c>
      <c r="V67" s="124">
        <f t="shared" si="19"/>
        <v>750</v>
      </c>
      <c r="W67" s="129">
        <f t="shared" si="19"/>
        <v>750</v>
      </c>
      <c r="X67" s="124">
        <f t="shared" si="19"/>
        <v>750</v>
      </c>
      <c r="Y67" s="129">
        <f t="shared" si="19"/>
        <v>750</v>
      </c>
      <c r="Z67" s="124">
        <f t="shared" si="19"/>
        <v>750</v>
      </c>
      <c r="AA67" s="129">
        <f t="shared" si="19"/>
        <v>750</v>
      </c>
      <c r="AB67" s="124">
        <f t="shared" si="19"/>
        <v>750</v>
      </c>
      <c r="AC67" s="129">
        <f t="shared" si="19"/>
        <v>750</v>
      </c>
      <c r="AD67" s="124">
        <f t="shared" si="19"/>
        <v>750</v>
      </c>
      <c r="AE67" s="129">
        <f t="shared" si="19"/>
        <v>750</v>
      </c>
      <c r="AF67" s="124">
        <f t="shared" si="19"/>
        <v>750</v>
      </c>
      <c r="AG67" s="129">
        <f t="shared" si="19"/>
        <v>750</v>
      </c>
      <c r="AH67" s="124">
        <f t="shared" si="19"/>
        <v>750</v>
      </c>
      <c r="AI67" s="129">
        <f t="shared" si="19"/>
        <v>750</v>
      </c>
      <c r="AJ67" s="124">
        <f t="shared" ref="AJ67:BA67" si="20">IF(AJ92,"",IF(ISBLANK(AJ9),"",$D$38*$D$36))</f>
        <v>750</v>
      </c>
      <c r="AK67" s="129">
        <f t="shared" si="20"/>
        <v>750</v>
      </c>
      <c r="AL67" s="124">
        <f t="shared" si="20"/>
        <v>750</v>
      </c>
      <c r="AM67" s="129">
        <f t="shared" si="20"/>
        <v>750</v>
      </c>
      <c r="AN67" s="124">
        <f t="shared" si="20"/>
        <v>750</v>
      </c>
      <c r="AO67" s="129">
        <f t="shared" si="20"/>
        <v>750</v>
      </c>
      <c r="AP67" s="124">
        <f t="shared" si="20"/>
        <v>750</v>
      </c>
      <c r="AQ67" s="129">
        <f t="shared" si="20"/>
        <v>750</v>
      </c>
      <c r="AR67" s="124" t="str">
        <f t="shared" si="20"/>
        <v/>
      </c>
      <c r="AS67" s="129" t="str">
        <f t="shared" si="20"/>
        <v/>
      </c>
      <c r="AT67" s="124" t="str">
        <f t="shared" si="20"/>
        <v/>
      </c>
      <c r="AU67" s="129" t="str">
        <f t="shared" si="20"/>
        <v/>
      </c>
      <c r="AV67" s="124">
        <f t="shared" si="20"/>
        <v>750</v>
      </c>
      <c r="AW67" s="129" t="str">
        <f t="shared" si="20"/>
        <v/>
      </c>
      <c r="AX67" s="124" t="str">
        <f t="shared" si="20"/>
        <v/>
      </c>
      <c r="AY67" s="129" t="str">
        <f t="shared" si="20"/>
        <v/>
      </c>
      <c r="AZ67" s="129" t="str">
        <f t="shared" si="20"/>
        <v/>
      </c>
      <c r="BA67" s="124" t="str">
        <f t="shared" si="20"/>
        <v/>
      </c>
      <c r="BB67" s="124"/>
      <c r="BC67" s="94"/>
      <c r="BD67" s="89"/>
    </row>
    <row r="68" spans="1:57" s="32" customFormat="1" x14ac:dyDescent="0.2">
      <c r="A68" s="31"/>
      <c r="B68" s="3" t="s">
        <v>47</v>
      </c>
      <c r="C68" s="3"/>
      <c r="D68" s="124">
        <f t="shared" ref="D68:AI68" si="21">IF(D92,"",IF(ISBLANK(D9),"",D67*$D32))</f>
        <v>750</v>
      </c>
      <c r="E68" s="129">
        <f t="shared" si="21"/>
        <v>750</v>
      </c>
      <c r="F68" s="124">
        <f t="shared" si="21"/>
        <v>750</v>
      </c>
      <c r="G68" s="129">
        <f t="shared" si="21"/>
        <v>750</v>
      </c>
      <c r="H68" s="124">
        <f t="shared" si="21"/>
        <v>750</v>
      </c>
      <c r="I68" s="129">
        <f t="shared" si="21"/>
        <v>750</v>
      </c>
      <c r="J68" s="124">
        <f t="shared" si="21"/>
        <v>750</v>
      </c>
      <c r="K68" s="129">
        <f t="shared" si="21"/>
        <v>750</v>
      </c>
      <c r="L68" s="124">
        <f t="shared" si="21"/>
        <v>750</v>
      </c>
      <c r="M68" s="129">
        <f t="shared" si="21"/>
        <v>750</v>
      </c>
      <c r="N68" s="124">
        <f t="shared" si="21"/>
        <v>750</v>
      </c>
      <c r="O68" s="129">
        <f t="shared" si="21"/>
        <v>750</v>
      </c>
      <c r="P68" s="124">
        <f t="shared" si="21"/>
        <v>750</v>
      </c>
      <c r="Q68" s="129">
        <f t="shared" si="21"/>
        <v>750</v>
      </c>
      <c r="R68" s="124">
        <f t="shared" si="21"/>
        <v>750</v>
      </c>
      <c r="S68" s="129">
        <f t="shared" si="21"/>
        <v>750</v>
      </c>
      <c r="T68" s="124">
        <f t="shared" si="21"/>
        <v>750</v>
      </c>
      <c r="U68" s="129">
        <f t="shared" si="21"/>
        <v>750</v>
      </c>
      <c r="V68" s="124">
        <f t="shared" si="21"/>
        <v>750</v>
      </c>
      <c r="W68" s="129">
        <f t="shared" si="21"/>
        <v>750</v>
      </c>
      <c r="X68" s="124">
        <f t="shared" si="21"/>
        <v>750</v>
      </c>
      <c r="Y68" s="129">
        <f t="shared" si="21"/>
        <v>750</v>
      </c>
      <c r="Z68" s="124">
        <f t="shared" si="21"/>
        <v>750</v>
      </c>
      <c r="AA68" s="129">
        <f t="shared" si="21"/>
        <v>750</v>
      </c>
      <c r="AB68" s="124">
        <f t="shared" si="21"/>
        <v>750</v>
      </c>
      <c r="AC68" s="129">
        <f t="shared" si="21"/>
        <v>750</v>
      </c>
      <c r="AD68" s="124">
        <f t="shared" si="21"/>
        <v>750</v>
      </c>
      <c r="AE68" s="129">
        <f t="shared" si="21"/>
        <v>750</v>
      </c>
      <c r="AF68" s="124">
        <f t="shared" si="21"/>
        <v>750</v>
      </c>
      <c r="AG68" s="129">
        <f t="shared" si="21"/>
        <v>750</v>
      </c>
      <c r="AH68" s="124">
        <f t="shared" si="21"/>
        <v>750</v>
      </c>
      <c r="AI68" s="129">
        <f t="shared" si="21"/>
        <v>750</v>
      </c>
      <c r="AJ68" s="124">
        <f t="shared" ref="AJ68:BA68" si="22">IF(AJ92,"",IF(ISBLANK(AJ9),"",AJ67*$D32))</f>
        <v>750</v>
      </c>
      <c r="AK68" s="129">
        <f t="shared" si="22"/>
        <v>750</v>
      </c>
      <c r="AL68" s="124">
        <f t="shared" si="22"/>
        <v>750</v>
      </c>
      <c r="AM68" s="129">
        <f t="shared" si="22"/>
        <v>750</v>
      </c>
      <c r="AN68" s="124">
        <f t="shared" si="22"/>
        <v>750</v>
      </c>
      <c r="AO68" s="129">
        <f t="shared" si="22"/>
        <v>750</v>
      </c>
      <c r="AP68" s="124">
        <f t="shared" si="22"/>
        <v>750</v>
      </c>
      <c r="AQ68" s="129">
        <f t="shared" si="22"/>
        <v>750</v>
      </c>
      <c r="AR68" s="124" t="str">
        <f t="shared" si="22"/>
        <v/>
      </c>
      <c r="AS68" s="129" t="str">
        <f t="shared" si="22"/>
        <v/>
      </c>
      <c r="AT68" s="124" t="str">
        <f t="shared" si="22"/>
        <v/>
      </c>
      <c r="AU68" s="129" t="str">
        <f t="shared" si="22"/>
        <v/>
      </c>
      <c r="AV68" s="124">
        <f t="shared" si="22"/>
        <v>750</v>
      </c>
      <c r="AW68" s="129" t="str">
        <f t="shared" si="22"/>
        <v/>
      </c>
      <c r="AX68" s="124" t="str">
        <f t="shared" si="22"/>
        <v/>
      </c>
      <c r="AY68" s="129" t="str">
        <f t="shared" si="22"/>
        <v/>
      </c>
      <c r="AZ68" s="129" t="str">
        <f t="shared" si="22"/>
        <v/>
      </c>
      <c r="BA68" s="124" t="str">
        <f t="shared" si="22"/>
        <v/>
      </c>
      <c r="BB68" s="124"/>
      <c r="BC68" s="94"/>
      <c r="BD68" s="89"/>
    </row>
    <row r="69" spans="1:57" s="32" customFormat="1" x14ac:dyDescent="0.2">
      <c r="A69" s="31"/>
      <c r="B69" s="3" t="s">
        <v>59</v>
      </c>
      <c r="C69" s="3"/>
      <c r="D69" s="124">
        <f t="shared" ref="D69:AI69" si="23">IF(D92,"",IF(ISBLANK(D9),"",D68*D78))</f>
        <v>6.4813141683778213</v>
      </c>
      <c r="E69" s="129">
        <f t="shared" si="23"/>
        <v>8.2266940451745345</v>
      </c>
      <c r="F69" s="124">
        <f t="shared" si="23"/>
        <v>10.594661190965089</v>
      </c>
      <c r="G69" s="129">
        <f t="shared" si="23"/>
        <v>12.340041067761803</v>
      </c>
      <c r="H69" s="124">
        <f t="shared" si="23"/>
        <v>14.708008213552358</v>
      </c>
      <c r="I69" s="129">
        <f t="shared" si="23"/>
        <v>16.453388090349069</v>
      </c>
      <c r="J69" s="124">
        <f t="shared" si="23"/>
        <v>18.821355236139627</v>
      </c>
      <c r="K69" s="129">
        <f t="shared" si="23"/>
        <v>21.189322381930179</v>
      </c>
      <c r="L69" s="124">
        <f t="shared" si="23"/>
        <v>23.557289527720734</v>
      </c>
      <c r="M69" s="129">
        <f t="shared" si="23"/>
        <v>25.925256673511285</v>
      </c>
      <c r="N69" s="124">
        <f t="shared" si="23"/>
        <v>27.420533880903484</v>
      </c>
      <c r="O69" s="129">
        <f t="shared" si="23"/>
        <v>28.91581108829568</v>
      </c>
      <c r="P69" s="124">
        <f t="shared" si="23"/>
        <v>30.411088295687875</v>
      </c>
      <c r="Q69" s="129">
        <f t="shared" si="23"/>
        <v>31.906365503080075</v>
      </c>
      <c r="R69" s="124">
        <f t="shared" si="23"/>
        <v>33.401642710472267</v>
      </c>
      <c r="S69" s="129">
        <f t="shared" si="23"/>
        <v>34.896919917864473</v>
      </c>
      <c r="T69" s="124">
        <f t="shared" si="23"/>
        <v>36.392197125256665</v>
      </c>
      <c r="U69" s="129">
        <f t="shared" si="23"/>
        <v>37.887474332648864</v>
      </c>
      <c r="V69" s="124">
        <f t="shared" si="23"/>
        <v>39.382751540041056</v>
      </c>
      <c r="W69" s="129">
        <f t="shared" si="23"/>
        <v>40.878028747433255</v>
      </c>
      <c r="X69" s="124">
        <f t="shared" si="23"/>
        <v>42.995893223819287</v>
      </c>
      <c r="Y69" s="129">
        <f t="shared" si="23"/>
        <v>45.113757700205326</v>
      </c>
      <c r="Z69" s="124">
        <f t="shared" si="23"/>
        <v>47.854209445585212</v>
      </c>
      <c r="AA69" s="129">
        <f t="shared" si="23"/>
        <v>51.839835728952757</v>
      </c>
      <c r="AB69" s="124">
        <f t="shared" si="23"/>
        <v>55.82546201232033</v>
      </c>
      <c r="AC69" s="129">
        <f t="shared" si="23"/>
        <v>59.811088295687867</v>
      </c>
      <c r="AD69" s="124">
        <f t="shared" si="23"/>
        <v>63.796714579055433</v>
      </c>
      <c r="AE69" s="129">
        <f t="shared" si="23"/>
        <v>67.782340862422984</v>
      </c>
      <c r="AF69" s="124">
        <f t="shared" si="23"/>
        <v>71.244353182751539</v>
      </c>
      <c r="AG69" s="129">
        <f t="shared" si="23"/>
        <v>74.706365503080065</v>
      </c>
      <c r="AH69" s="124">
        <f t="shared" si="23"/>
        <v>78.168377823408605</v>
      </c>
      <c r="AI69" s="129">
        <f t="shared" si="23"/>
        <v>81.630390143737159</v>
      </c>
      <c r="AJ69" s="124">
        <f t="shared" ref="AJ69:BA69" si="24">IF(AJ92,"",IF(ISBLANK(AJ9),"",AJ68*AJ78))</f>
        <v>88.205338809034899</v>
      </c>
      <c r="AK69" s="129">
        <f t="shared" si="24"/>
        <v>94.780287474332638</v>
      </c>
      <c r="AL69" s="124">
        <f t="shared" si="24"/>
        <v>101.35523613963038</v>
      </c>
      <c r="AM69" s="129">
        <f t="shared" si="24"/>
        <v>107.93018480492812</v>
      </c>
      <c r="AN69" s="124">
        <f t="shared" si="24"/>
        <v>114.50513347022584</v>
      </c>
      <c r="AO69" s="129">
        <f t="shared" si="24"/>
        <v>121.0800821355236</v>
      </c>
      <c r="AP69" s="124">
        <f t="shared" si="24"/>
        <v>124.19301848049278</v>
      </c>
      <c r="AQ69" s="129">
        <f t="shared" si="24"/>
        <v>127.305954825462</v>
      </c>
      <c r="AR69" s="124" t="str">
        <f t="shared" si="24"/>
        <v/>
      </c>
      <c r="AS69" s="129" t="str">
        <f t="shared" si="24"/>
        <v/>
      </c>
      <c r="AT69" s="124" t="str">
        <f t="shared" si="24"/>
        <v/>
      </c>
      <c r="AU69" s="129" t="str">
        <f t="shared" si="24"/>
        <v/>
      </c>
      <c r="AV69" s="124">
        <f t="shared" si="24"/>
        <v>164.66119096509235</v>
      </c>
      <c r="AW69" s="129" t="str">
        <f t="shared" si="24"/>
        <v/>
      </c>
      <c r="AX69" s="124" t="str">
        <f t="shared" si="24"/>
        <v/>
      </c>
      <c r="AY69" s="129" t="str">
        <f t="shared" si="24"/>
        <v/>
      </c>
      <c r="AZ69" s="129" t="str">
        <f t="shared" si="24"/>
        <v/>
      </c>
      <c r="BA69" s="124" t="str">
        <f t="shared" si="24"/>
        <v/>
      </c>
      <c r="BB69" s="124"/>
      <c r="BC69" s="94"/>
      <c r="BD69" s="89"/>
    </row>
    <row r="70" spans="1:57" s="32" customFormat="1" x14ac:dyDescent="0.2">
      <c r="A70" s="31"/>
      <c r="B70" s="3" t="s">
        <v>48</v>
      </c>
      <c r="C70" s="3"/>
      <c r="D70" s="130">
        <f t="shared" ref="D70:AI70" si="25">IF(D92,"",IF(ISBLANK(D9),"",D66+D67))</f>
        <v>5000</v>
      </c>
      <c r="E70" s="131">
        <f t="shared" si="25"/>
        <v>5000</v>
      </c>
      <c r="F70" s="130">
        <f t="shared" si="25"/>
        <v>5000</v>
      </c>
      <c r="G70" s="131">
        <f t="shared" si="25"/>
        <v>5000</v>
      </c>
      <c r="H70" s="130">
        <f t="shared" si="25"/>
        <v>5000</v>
      </c>
      <c r="I70" s="131">
        <f t="shared" si="25"/>
        <v>5000</v>
      </c>
      <c r="J70" s="130">
        <f t="shared" si="25"/>
        <v>5000</v>
      </c>
      <c r="K70" s="131">
        <f t="shared" si="25"/>
        <v>5000</v>
      </c>
      <c r="L70" s="130">
        <f t="shared" si="25"/>
        <v>5000</v>
      </c>
      <c r="M70" s="131">
        <f t="shared" si="25"/>
        <v>5000</v>
      </c>
      <c r="N70" s="130">
        <f t="shared" si="25"/>
        <v>5000</v>
      </c>
      <c r="O70" s="131">
        <f t="shared" si="25"/>
        <v>5000</v>
      </c>
      <c r="P70" s="130">
        <f t="shared" si="25"/>
        <v>5000</v>
      </c>
      <c r="Q70" s="131">
        <f t="shared" si="25"/>
        <v>5000</v>
      </c>
      <c r="R70" s="130">
        <f t="shared" si="25"/>
        <v>5000</v>
      </c>
      <c r="S70" s="131">
        <f t="shared" si="25"/>
        <v>5000</v>
      </c>
      <c r="T70" s="130">
        <f t="shared" si="25"/>
        <v>5000</v>
      </c>
      <c r="U70" s="131">
        <f t="shared" si="25"/>
        <v>5000</v>
      </c>
      <c r="V70" s="130">
        <f t="shared" si="25"/>
        <v>5000</v>
      </c>
      <c r="W70" s="131">
        <f t="shared" si="25"/>
        <v>5000</v>
      </c>
      <c r="X70" s="130">
        <f t="shared" si="25"/>
        <v>5000</v>
      </c>
      <c r="Y70" s="131">
        <f t="shared" si="25"/>
        <v>5000</v>
      </c>
      <c r="Z70" s="130">
        <f t="shared" si="25"/>
        <v>5000</v>
      </c>
      <c r="AA70" s="131">
        <f t="shared" si="25"/>
        <v>5000</v>
      </c>
      <c r="AB70" s="130">
        <f t="shared" si="25"/>
        <v>5000</v>
      </c>
      <c r="AC70" s="131">
        <f t="shared" si="25"/>
        <v>5000</v>
      </c>
      <c r="AD70" s="130">
        <f t="shared" si="25"/>
        <v>5000</v>
      </c>
      <c r="AE70" s="131">
        <f t="shared" si="25"/>
        <v>5000</v>
      </c>
      <c r="AF70" s="130">
        <f t="shared" si="25"/>
        <v>5000</v>
      </c>
      <c r="AG70" s="131">
        <f t="shared" si="25"/>
        <v>5000</v>
      </c>
      <c r="AH70" s="130">
        <f t="shared" si="25"/>
        <v>5000</v>
      </c>
      <c r="AI70" s="131">
        <f t="shared" si="25"/>
        <v>5000</v>
      </c>
      <c r="AJ70" s="130">
        <f t="shared" ref="AJ70:BA70" si="26">IF(AJ92,"",IF(ISBLANK(AJ9),"",AJ66+AJ67))</f>
        <v>5000</v>
      </c>
      <c r="AK70" s="131">
        <f t="shared" si="26"/>
        <v>5000</v>
      </c>
      <c r="AL70" s="130">
        <f t="shared" si="26"/>
        <v>5000</v>
      </c>
      <c r="AM70" s="131">
        <f t="shared" si="26"/>
        <v>5000</v>
      </c>
      <c r="AN70" s="130">
        <f t="shared" si="26"/>
        <v>5000</v>
      </c>
      <c r="AO70" s="131">
        <f t="shared" si="26"/>
        <v>5000</v>
      </c>
      <c r="AP70" s="130">
        <f t="shared" si="26"/>
        <v>5000</v>
      </c>
      <c r="AQ70" s="131">
        <f t="shared" si="26"/>
        <v>5000</v>
      </c>
      <c r="AR70" s="130" t="str">
        <f t="shared" si="26"/>
        <v/>
      </c>
      <c r="AS70" s="131" t="str">
        <f t="shared" si="26"/>
        <v/>
      </c>
      <c r="AT70" s="130" t="str">
        <f t="shared" si="26"/>
        <v/>
      </c>
      <c r="AU70" s="131" t="str">
        <f t="shared" si="26"/>
        <v/>
      </c>
      <c r="AV70" s="130">
        <f t="shared" si="26"/>
        <v>5000</v>
      </c>
      <c r="AW70" s="131" t="str">
        <f t="shared" si="26"/>
        <v/>
      </c>
      <c r="AX70" s="130" t="str">
        <f t="shared" si="26"/>
        <v/>
      </c>
      <c r="AY70" s="131" t="str">
        <f t="shared" si="26"/>
        <v/>
      </c>
      <c r="AZ70" s="131" t="str">
        <f t="shared" si="26"/>
        <v/>
      </c>
      <c r="BA70" s="130" t="str">
        <f t="shared" si="26"/>
        <v/>
      </c>
      <c r="BB70" s="124"/>
      <c r="BC70" s="94"/>
      <c r="BD70" s="89"/>
    </row>
    <row r="71" spans="1:57" s="32" customFormat="1" x14ac:dyDescent="0.2">
      <c r="A71" s="31"/>
      <c r="B71" s="18"/>
      <c r="C71" s="18"/>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5"/>
      <c r="BC71" s="95"/>
      <c r="BD71" s="86"/>
    </row>
    <row r="72" spans="1:57" s="32" customFormat="1" x14ac:dyDescent="0.2">
      <c r="A72" s="31"/>
      <c r="B72" s="17"/>
      <c r="C72" s="17"/>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27"/>
      <c r="BC72" s="27"/>
      <c r="BD72" s="27"/>
      <c r="BE72" s="27"/>
    </row>
    <row r="73" spans="1:57" s="32" customFormat="1" x14ac:dyDescent="0.2">
      <c r="A73" s="31"/>
      <c r="B73" s="17"/>
      <c r="C73" s="136" t="s">
        <v>18</v>
      </c>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27"/>
      <c r="BC73" s="27"/>
      <c r="BD73" s="27"/>
      <c r="BE73" s="27"/>
    </row>
    <row r="74" spans="1:57" s="32" customFormat="1" x14ac:dyDescent="0.2">
      <c r="A74" s="31"/>
      <c r="B74" s="17"/>
      <c r="C74" s="92" t="s">
        <v>14</v>
      </c>
      <c r="D74" s="91">
        <f t="shared" ref="D74:AI74" si="27">D23</f>
        <v>0.85</v>
      </c>
      <c r="E74" s="91">
        <f t="shared" si="27"/>
        <v>0.85</v>
      </c>
      <c r="F74" s="91">
        <f t="shared" si="27"/>
        <v>0.85</v>
      </c>
      <c r="G74" s="91">
        <f t="shared" si="27"/>
        <v>0.85</v>
      </c>
      <c r="H74" s="91">
        <f t="shared" si="27"/>
        <v>0.85</v>
      </c>
      <c r="I74" s="91">
        <f t="shared" si="27"/>
        <v>0.85</v>
      </c>
      <c r="J74" s="91">
        <f t="shared" si="27"/>
        <v>0.85</v>
      </c>
      <c r="K74" s="91">
        <f t="shared" si="27"/>
        <v>0.85</v>
      </c>
      <c r="L74" s="91">
        <f t="shared" si="27"/>
        <v>0.85</v>
      </c>
      <c r="M74" s="91">
        <f t="shared" si="27"/>
        <v>0.85</v>
      </c>
      <c r="N74" s="91">
        <f t="shared" si="27"/>
        <v>0.85</v>
      </c>
      <c r="O74" s="91">
        <f t="shared" si="27"/>
        <v>0.85</v>
      </c>
      <c r="P74" s="91">
        <f t="shared" si="27"/>
        <v>0.85</v>
      </c>
      <c r="Q74" s="91">
        <f t="shared" si="27"/>
        <v>0.85</v>
      </c>
      <c r="R74" s="91">
        <f t="shared" si="27"/>
        <v>0.85</v>
      </c>
      <c r="S74" s="91">
        <f t="shared" si="27"/>
        <v>0.85</v>
      </c>
      <c r="T74" s="91">
        <f t="shared" si="27"/>
        <v>0.85</v>
      </c>
      <c r="U74" s="91">
        <f t="shared" si="27"/>
        <v>0.85</v>
      </c>
      <c r="V74" s="91">
        <f t="shared" si="27"/>
        <v>0.85</v>
      </c>
      <c r="W74" s="91">
        <f t="shared" si="27"/>
        <v>0.85</v>
      </c>
      <c r="X74" s="91">
        <f t="shared" si="27"/>
        <v>0.85</v>
      </c>
      <c r="Y74" s="91">
        <f t="shared" si="27"/>
        <v>0.85</v>
      </c>
      <c r="Z74" s="91">
        <f t="shared" si="27"/>
        <v>0.85</v>
      </c>
      <c r="AA74" s="91">
        <f t="shared" si="27"/>
        <v>0.85</v>
      </c>
      <c r="AB74" s="91">
        <f t="shared" si="27"/>
        <v>0.85</v>
      </c>
      <c r="AC74" s="91">
        <f t="shared" si="27"/>
        <v>0.85</v>
      </c>
      <c r="AD74" s="91">
        <f t="shared" si="27"/>
        <v>0.85</v>
      </c>
      <c r="AE74" s="91">
        <f t="shared" si="27"/>
        <v>0.85</v>
      </c>
      <c r="AF74" s="91">
        <f t="shared" si="27"/>
        <v>0.85</v>
      </c>
      <c r="AG74" s="91">
        <f t="shared" si="27"/>
        <v>0.85</v>
      </c>
      <c r="AH74" s="91">
        <f t="shared" si="27"/>
        <v>0.85</v>
      </c>
      <c r="AI74" s="91">
        <f t="shared" si="27"/>
        <v>0.85</v>
      </c>
      <c r="AJ74" s="91">
        <f t="shared" ref="AJ74:BA74" si="28">AJ23</f>
        <v>0.85</v>
      </c>
      <c r="AK74" s="91">
        <f t="shared" si="28"/>
        <v>0.85</v>
      </c>
      <c r="AL74" s="91">
        <f t="shared" si="28"/>
        <v>0.85</v>
      </c>
      <c r="AM74" s="91">
        <f t="shared" si="28"/>
        <v>0.85</v>
      </c>
      <c r="AN74" s="91">
        <f t="shared" si="28"/>
        <v>0.85</v>
      </c>
      <c r="AO74" s="91">
        <f t="shared" si="28"/>
        <v>0.85</v>
      </c>
      <c r="AP74" s="91">
        <f t="shared" si="28"/>
        <v>0.85</v>
      </c>
      <c r="AQ74" s="91">
        <f t="shared" si="28"/>
        <v>0.85</v>
      </c>
      <c r="AR74" s="91" t="str">
        <f t="shared" si="28"/>
        <v/>
      </c>
      <c r="AS74" s="91" t="str">
        <f t="shared" si="28"/>
        <v/>
      </c>
      <c r="AT74" s="91" t="str">
        <f t="shared" si="28"/>
        <v/>
      </c>
      <c r="AU74" s="91" t="str">
        <f t="shared" si="28"/>
        <v/>
      </c>
      <c r="AV74" s="91">
        <f t="shared" si="28"/>
        <v>0.85</v>
      </c>
      <c r="AW74" s="91" t="str">
        <f t="shared" si="28"/>
        <v/>
      </c>
      <c r="AX74" s="91" t="str">
        <f t="shared" si="28"/>
        <v/>
      </c>
      <c r="AY74" s="91" t="str">
        <f t="shared" si="28"/>
        <v/>
      </c>
      <c r="AZ74" s="91" t="str">
        <f t="shared" si="28"/>
        <v/>
      </c>
      <c r="BA74" s="91" t="str">
        <f t="shared" si="28"/>
        <v/>
      </c>
      <c r="BB74" s="27"/>
      <c r="BC74" s="27"/>
      <c r="BD74" s="27"/>
      <c r="BE74" s="27"/>
    </row>
    <row r="75" spans="1:57" s="32" customFormat="1" x14ac:dyDescent="0.2">
      <c r="A75" s="31"/>
      <c r="B75" s="17"/>
      <c r="C75" s="92" t="s">
        <v>15</v>
      </c>
      <c r="D75" s="91">
        <f t="shared" ref="D75:AI75" si="29">D25</f>
        <v>1.2962628336755644E-3</v>
      </c>
      <c r="E75" s="91">
        <f t="shared" si="29"/>
        <v>1.6453388090349073E-3</v>
      </c>
      <c r="F75" s="91">
        <f t="shared" si="29"/>
        <v>2.1189322381930183E-3</v>
      </c>
      <c r="G75" s="91">
        <f t="shared" si="29"/>
        <v>2.468008213552361E-3</v>
      </c>
      <c r="H75" s="91">
        <f t="shared" si="29"/>
        <v>2.9416016427104719E-3</v>
      </c>
      <c r="I75" s="91">
        <f t="shared" si="29"/>
        <v>3.2906776180698146E-3</v>
      </c>
      <c r="J75" s="91">
        <f t="shared" si="29"/>
        <v>3.764271047227926E-3</v>
      </c>
      <c r="K75" s="91">
        <f t="shared" si="29"/>
        <v>4.2378644763860366E-3</v>
      </c>
      <c r="L75" s="91">
        <f t="shared" si="29"/>
        <v>4.7114579055441471E-3</v>
      </c>
      <c r="M75" s="91">
        <f t="shared" si="29"/>
        <v>5.1850513347022576E-3</v>
      </c>
      <c r="N75" s="91">
        <f t="shared" si="29"/>
        <v>5.4841067761806968E-3</v>
      </c>
      <c r="O75" s="91">
        <f t="shared" si="29"/>
        <v>5.7831622176591369E-3</v>
      </c>
      <c r="P75" s="91">
        <f t="shared" si="29"/>
        <v>6.0822176591375761E-3</v>
      </c>
      <c r="Q75" s="91">
        <f t="shared" si="29"/>
        <v>6.3812731006160153E-3</v>
      </c>
      <c r="R75" s="91">
        <f t="shared" si="29"/>
        <v>6.6803285420944554E-3</v>
      </c>
      <c r="S75" s="91">
        <f t="shared" si="29"/>
        <v>6.9793839835728955E-3</v>
      </c>
      <c r="T75" s="91">
        <f t="shared" si="29"/>
        <v>7.2784394250513338E-3</v>
      </c>
      <c r="U75" s="91">
        <f t="shared" si="29"/>
        <v>7.5774948665297739E-3</v>
      </c>
      <c r="V75" s="91">
        <f t="shared" si="29"/>
        <v>7.8765503080082122E-3</v>
      </c>
      <c r="W75" s="91">
        <f t="shared" si="29"/>
        <v>8.1756057494866523E-3</v>
      </c>
      <c r="X75" s="91">
        <f t="shared" si="29"/>
        <v>8.5991786447638593E-3</v>
      </c>
      <c r="Y75" s="91">
        <f t="shared" si="29"/>
        <v>9.0227515400410664E-3</v>
      </c>
      <c r="Z75" s="91">
        <f t="shared" si="29"/>
        <v>9.5708418891170439E-3</v>
      </c>
      <c r="AA75" s="91">
        <f t="shared" si="29"/>
        <v>1.0367967145790552E-2</v>
      </c>
      <c r="AB75" s="91">
        <f t="shared" si="29"/>
        <v>1.1165092402464067E-2</v>
      </c>
      <c r="AC75" s="91">
        <f t="shared" si="29"/>
        <v>1.1962217659137575E-2</v>
      </c>
      <c r="AD75" s="91">
        <f t="shared" si="29"/>
        <v>1.2759342915811088E-2</v>
      </c>
      <c r="AE75" s="91">
        <f t="shared" si="29"/>
        <v>1.3556468172484598E-2</v>
      </c>
      <c r="AF75" s="91">
        <f t="shared" si="29"/>
        <v>1.4248870636550309E-2</v>
      </c>
      <c r="AG75" s="91">
        <f t="shared" si="29"/>
        <v>1.4941273100616015E-2</v>
      </c>
      <c r="AH75" s="91">
        <f t="shared" si="29"/>
        <v>1.5633675564681725E-2</v>
      </c>
      <c r="AI75" s="91">
        <f t="shared" si="29"/>
        <v>1.6326078028747436E-2</v>
      </c>
      <c r="AJ75" s="91">
        <f t="shared" ref="AJ75:BA75" si="30">AJ25</f>
        <v>1.7641067761806982E-2</v>
      </c>
      <c r="AK75" s="91">
        <f t="shared" si="30"/>
        <v>1.8956057494866528E-2</v>
      </c>
      <c r="AL75" s="91">
        <f t="shared" si="30"/>
        <v>2.0271047227926078E-2</v>
      </c>
      <c r="AM75" s="91">
        <f t="shared" si="30"/>
        <v>2.1586036960985627E-2</v>
      </c>
      <c r="AN75" s="91">
        <f t="shared" si="30"/>
        <v>2.2901026694045173E-2</v>
      </c>
      <c r="AO75" s="91">
        <f t="shared" si="30"/>
        <v>2.4216016427104723E-2</v>
      </c>
      <c r="AP75" s="91">
        <f t="shared" si="30"/>
        <v>2.4838603696098562E-2</v>
      </c>
      <c r="AQ75" s="91">
        <f t="shared" si="30"/>
        <v>2.5461190965092403E-2</v>
      </c>
      <c r="AR75" s="91" t="str">
        <f t="shared" si="30"/>
        <v/>
      </c>
      <c r="AS75" s="91" t="str">
        <f t="shared" si="30"/>
        <v/>
      </c>
      <c r="AT75" s="91" t="str">
        <f t="shared" si="30"/>
        <v/>
      </c>
      <c r="AU75" s="91" t="str">
        <f t="shared" si="30"/>
        <v/>
      </c>
      <c r="AV75" s="91">
        <f t="shared" si="30"/>
        <v>3.2932238193018479E-2</v>
      </c>
      <c r="AW75" s="91" t="str">
        <f t="shared" si="30"/>
        <v/>
      </c>
      <c r="AX75" s="91" t="str">
        <f t="shared" si="30"/>
        <v/>
      </c>
      <c r="AY75" s="91" t="str">
        <f t="shared" si="30"/>
        <v/>
      </c>
      <c r="AZ75" s="91" t="str">
        <f t="shared" si="30"/>
        <v/>
      </c>
      <c r="BA75" s="91" t="str">
        <f t="shared" si="30"/>
        <v/>
      </c>
      <c r="BB75" s="27"/>
      <c r="BC75" s="27"/>
      <c r="BD75" s="27"/>
      <c r="BE75" s="27"/>
    </row>
    <row r="76" spans="1:57" s="32" customFormat="1" x14ac:dyDescent="0.2">
      <c r="A76" s="31"/>
      <c r="B76" s="17"/>
      <c r="C76" s="92" t="s">
        <v>16</v>
      </c>
      <c r="D76" s="91">
        <f t="shared" ref="D76:AI76" si="31">D24</f>
        <v>0.14870373716632446</v>
      </c>
      <c r="E76" s="91">
        <f t="shared" si="31"/>
        <v>0.1483546611909651</v>
      </c>
      <c r="F76" s="91">
        <f t="shared" si="31"/>
        <v>0.14788106776180701</v>
      </c>
      <c r="G76" s="91">
        <f t="shared" si="31"/>
        <v>0.14753199178644766</v>
      </c>
      <c r="H76" s="91">
        <f t="shared" si="31"/>
        <v>0.14705839835728954</v>
      </c>
      <c r="I76" s="91">
        <f t="shared" si="31"/>
        <v>0.14670932238193021</v>
      </c>
      <c r="J76" s="91">
        <f t="shared" si="31"/>
        <v>0.14623572895277209</v>
      </c>
      <c r="K76" s="91">
        <f t="shared" si="31"/>
        <v>0.14576213552361397</v>
      </c>
      <c r="L76" s="91">
        <f t="shared" si="31"/>
        <v>0.14528854209445588</v>
      </c>
      <c r="M76" s="91">
        <f t="shared" si="31"/>
        <v>0.14481494866529776</v>
      </c>
      <c r="N76" s="91">
        <f t="shared" si="31"/>
        <v>0.14451589322381933</v>
      </c>
      <c r="O76" s="91">
        <f t="shared" si="31"/>
        <v>0.14421683778234087</v>
      </c>
      <c r="P76" s="91">
        <f t="shared" si="31"/>
        <v>0.14391778234086244</v>
      </c>
      <c r="Q76" s="91">
        <f t="shared" si="31"/>
        <v>0.14361872689938401</v>
      </c>
      <c r="R76" s="91">
        <f t="shared" si="31"/>
        <v>0.14331967145790556</v>
      </c>
      <c r="S76" s="91">
        <f t="shared" si="31"/>
        <v>0.14302061601642713</v>
      </c>
      <c r="T76" s="91">
        <f t="shared" si="31"/>
        <v>0.1427215605749487</v>
      </c>
      <c r="U76" s="91">
        <f t="shared" si="31"/>
        <v>0.14242250513347024</v>
      </c>
      <c r="V76" s="91">
        <f t="shared" si="31"/>
        <v>0.14212344969199181</v>
      </c>
      <c r="W76" s="91">
        <f t="shared" si="31"/>
        <v>0.14182439425051338</v>
      </c>
      <c r="X76" s="91">
        <f t="shared" si="31"/>
        <v>0.14140082135523616</v>
      </c>
      <c r="Y76" s="91">
        <f t="shared" si="31"/>
        <v>0.14097724845995896</v>
      </c>
      <c r="Z76" s="91">
        <f t="shared" si="31"/>
        <v>0.14042915811088297</v>
      </c>
      <c r="AA76" s="91">
        <f t="shared" si="31"/>
        <v>0.13963203285420947</v>
      </c>
      <c r="AB76" s="91">
        <f t="shared" si="31"/>
        <v>0.13883490759753594</v>
      </c>
      <c r="AC76" s="91">
        <f t="shared" si="31"/>
        <v>0.13803778234086245</v>
      </c>
      <c r="AD76" s="91">
        <f t="shared" si="31"/>
        <v>0.13724065708418892</v>
      </c>
      <c r="AE76" s="91">
        <f t="shared" si="31"/>
        <v>0.13644353182751542</v>
      </c>
      <c r="AF76" s="91">
        <f t="shared" si="31"/>
        <v>0.13575112936344971</v>
      </c>
      <c r="AG76" s="91">
        <f t="shared" si="31"/>
        <v>0.135058726899384</v>
      </c>
      <c r="AH76" s="91">
        <f t="shared" si="31"/>
        <v>0.13436632443531829</v>
      </c>
      <c r="AI76" s="91">
        <f t="shared" si="31"/>
        <v>0.13367392197125258</v>
      </c>
      <c r="AJ76" s="91">
        <f t="shared" ref="AJ76:BA76" si="32">AJ24</f>
        <v>0.13235893223819303</v>
      </c>
      <c r="AK76" s="91">
        <f t="shared" si="32"/>
        <v>0.13104394250513349</v>
      </c>
      <c r="AL76" s="91">
        <f t="shared" si="32"/>
        <v>0.12972895277207394</v>
      </c>
      <c r="AM76" s="91">
        <f t="shared" si="32"/>
        <v>0.12841396303901439</v>
      </c>
      <c r="AN76" s="91">
        <f t="shared" si="32"/>
        <v>0.12709897330595485</v>
      </c>
      <c r="AO76" s="91">
        <f t="shared" si="32"/>
        <v>0.1257839835728953</v>
      </c>
      <c r="AP76" s="91">
        <f t="shared" si="32"/>
        <v>0.12516139630390147</v>
      </c>
      <c r="AQ76" s="91">
        <f t="shared" si="32"/>
        <v>0.12453880903490762</v>
      </c>
      <c r="AR76" s="91" t="str">
        <f t="shared" si="32"/>
        <v/>
      </c>
      <c r="AS76" s="91" t="str">
        <f t="shared" si="32"/>
        <v/>
      </c>
      <c r="AT76" s="91" t="str">
        <f t="shared" si="32"/>
        <v/>
      </c>
      <c r="AU76" s="91" t="str">
        <f t="shared" si="32"/>
        <v/>
      </c>
      <c r="AV76" s="91">
        <f t="shared" si="32"/>
        <v>0.11706776180698154</v>
      </c>
      <c r="AW76" s="91" t="str">
        <f t="shared" si="32"/>
        <v/>
      </c>
      <c r="AX76" s="91" t="str">
        <f t="shared" si="32"/>
        <v/>
      </c>
      <c r="AY76" s="91" t="str">
        <f t="shared" si="32"/>
        <v/>
      </c>
      <c r="AZ76" s="91" t="str">
        <f t="shared" si="32"/>
        <v/>
      </c>
      <c r="BA76" s="91" t="str">
        <f t="shared" si="32"/>
        <v/>
      </c>
      <c r="BB76" s="27"/>
      <c r="BC76" s="27"/>
      <c r="BD76" s="27"/>
      <c r="BE76" s="27"/>
    </row>
    <row r="77" spans="1:57" s="32" customFormat="1" x14ac:dyDescent="0.2">
      <c r="A77" s="31"/>
      <c r="B77" s="17"/>
      <c r="C77" s="92" t="s">
        <v>17</v>
      </c>
      <c r="D77" s="91">
        <f t="shared" ref="D77:AI77" si="33">D76+D75</f>
        <v>0.15000000000000002</v>
      </c>
      <c r="E77" s="91">
        <f t="shared" si="33"/>
        <v>0.15000000000000002</v>
      </c>
      <c r="F77" s="91">
        <f t="shared" si="33"/>
        <v>0.15000000000000002</v>
      </c>
      <c r="G77" s="91">
        <f t="shared" si="33"/>
        <v>0.15000000000000002</v>
      </c>
      <c r="H77" s="91">
        <f t="shared" si="33"/>
        <v>0.15000000000000002</v>
      </c>
      <c r="I77" s="91">
        <f t="shared" si="33"/>
        <v>0.15000000000000002</v>
      </c>
      <c r="J77" s="91">
        <f t="shared" si="33"/>
        <v>0.15000000000000002</v>
      </c>
      <c r="K77" s="91">
        <f t="shared" si="33"/>
        <v>0.15000000000000002</v>
      </c>
      <c r="L77" s="91">
        <f t="shared" si="33"/>
        <v>0.15000000000000002</v>
      </c>
      <c r="M77" s="91">
        <f t="shared" si="33"/>
        <v>0.15000000000000002</v>
      </c>
      <c r="N77" s="91">
        <f t="shared" si="33"/>
        <v>0.15000000000000002</v>
      </c>
      <c r="O77" s="91">
        <f t="shared" si="33"/>
        <v>0.15000000000000002</v>
      </c>
      <c r="P77" s="91">
        <f t="shared" si="33"/>
        <v>0.15000000000000002</v>
      </c>
      <c r="Q77" s="91">
        <f t="shared" si="33"/>
        <v>0.15000000000000002</v>
      </c>
      <c r="R77" s="91">
        <f t="shared" si="33"/>
        <v>0.15000000000000002</v>
      </c>
      <c r="S77" s="91">
        <f t="shared" si="33"/>
        <v>0.15000000000000002</v>
      </c>
      <c r="T77" s="91">
        <f t="shared" si="33"/>
        <v>0.15000000000000002</v>
      </c>
      <c r="U77" s="91">
        <f t="shared" si="33"/>
        <v>0.15000000000000002</v>
      </c>
      <c r="V77" s="91">
        <f t="shared" si="33"/>
        <v>0.15000000000000002</v>
      </c>
      <c r="W77" s="91">
        <f t="shared" si="33"/>
        <v>0.15000000000000002</v>
      </c>
      <c r="X77" s="91">
        <f t="shared" si="33"/>
        <v>0.15000000000000002</v>
      </c>
      <c r="Y77" s="91">
        <f t="shared" si="33"/>
        <v>0.15000000000000002</v>
      </c>
      <c r="Z77" s="91">
        <f t="shared" si="33"/>
        <v>0.15000000000000002</v>
      </c>
      <c r="AA77" s="91">
        <f t="shared" si="33"/>
        <v>0.15000000000000002</v>
      </c>
      <c r="AB77" s="91">
        <f t="shared" si="33"/>
        <v>0.15000000000000002</v>
      </c>
      <c r="AC77" s="91">
        <f t="shared" si="33"/>
        <v>0.15000000000000002</v>
      </c>
      <c r="AD77" s="91">
        <f t="shared" si="33"/>
        <v>0.15000000000000002</v>
      </c>
      <c r="AE77" s="91">
        <f t="shared" si="33"/>
        <v>0.15000000000000002</v>
      </c>
      <c r="AF77" s="91">
        <f t="shared" si="33"/>
        <v>0.15000000000000002</v>
      </c>
      <c r="AG77" s="91">
        <f t="shared" si="33"/>
        <v>0.15000000000000002</v>
      </c>
      <c r="AH77" s="91">
        <f t="shared" si="33"/>
        <v>0.15000000000000002</v>
      </c>
      <c r="AI77" s="91">
        <f t="shared" si="33"/>
        <v>0.15000000000000002</v>
      </c>
      <c r="AJ77" s="91">
        <f t="shared" ref="AJ77:BA77" si="34">AJ76+AJ75</f>
        <v>0.15000000000000002</v>
      </c>
      <c r="AK77" s="91">
        <f t="shared" si="34"/>
        <v>0.15000000000000002</v>
      </c>
      <c r="AL77" s="91">
        <f t="shared" si="34"/>
        <v>0.15000000000000002</v>
      </c>
      <c r="AM77" s="91">
        <f t="shared" si="34"/>
        <v>0.15000000000000002</v>
      </c>
      <c r="AN77" s="91">
        <f t="shared" si="34"/>
        <v>0.15000000000000002</v>
      </c>
      <c r="AO77" s="91">
        <f t="shared" si="34"/>
        <v>0.15000000000000002</v>
      </c>
      <c r="AP77" s="91">
        <f t="shared" si="34"/>
        <v>0.15000000000000002</v>
      </c>
      <c r="AQ77" s="91">
        <f t="shared" si="34"/>
        <v>0.15000000000000002</v>
      </c>
      <c r="AR77" s="91" t="e">
        <f t="shared" si="34"/>
        <v>#VALUE!</v>
      </c>
      <c r="AS77" s="91" t="e">
        <f t="shared" si="34"/>
        <v>#VALUE!</v>
      </c>
      <c r="AT77" s="91" t="e">
        <f t="shared" si="34"/>
        <v>#VALUE!</v>
      </c>
      <c r="AU77" s="91" t="e">
        <f t="shared" si="34"/>
        <v>#VALUE!</v>
      </c>
      <c r="AV77" s="91">
        <f t="shared" si="34"/>
        <v>0.15000000000000002</v>
      </c>
      <c r="AW77" s="91" t="e">
        <f t="shared" si="34"/>
        <v>#VALUE!</v>
      </c>
      <c r="AX77" s="91" t="e">
        <f t="shared" si="34"/>
        <v>#VALUE!</v>
      </c>
      <c r="AY77" s="91" t="e">
        <f t="shared" si="34"/>
        <v>#VALUE!</v>
      </c>
      <c r="AZ77" s="91" t="e">
        <f t="shared" si="34"/>
        <v>#VALUE!</v>
      </c>
      <c r="BA77" s="91" t="e">
        <f t="shared" si="34"/>
        <v>#VALUE!</v>
      </c>
      <c r="BB77" s="27"/>
      <c r="BC77" s="27"/>
      <c r="BD77" s="27"/>
      <c r="BE77" s="27"/>
    </row>
    <row r="78" spans="1:57" s="32" customFormat="1" x14ac:dyDescent="0.2">
      <c r="A78" s="31"/>
      <c r="B78" s="17"/>
      <c r="C78" s="147" t="s">
        <v>45</v>
      </c>
      <c r="D78" s="161">
        <f t="shared" ref="D78:AI78" si="35">D75/D77</f>
        <v>8.6417522245037619E-3</v>
      </c>
      <c r="E78" s="161">
        <f t="shared" si="35"/>
        <v>1.0968925393566047E-2</v>
      </c>
      <c r="F78" s="161">
        <f t="shared" si="35"/>
        <v>1.4126214921286786E-2</v>
      </c>
      <c r="G78" s="161">
        <f t="shared" si="35"/>
        <v>1.6453388090349071E-2</v>
      </c>
      <c r="H78" s="161">
        <f t="shared" si="35"/>
        <v>1.9610677618069811E-2</v>
      </c>
      <c r="I78" s="161">
        <f t="shared" si="35"/>
        <v>2.1937850787132094E-2</v>
      </c>
      <c r="J78" s="161">
        <f t="shared" si="35"/>
        <v>2.5095140314852837E-2</v>
      </c>
      <c r="K78" s="161">
        <f t="shared" si="35"/>
        <v>2.8252429842573572E-2</v>
      </c>
      <c r="L78" s="161">
        <f t="shared" si="35"/>
        <v>3.1409719370294312E-2</v>
      </c>
      <c r="M78" s="161">
        <f t="shared" si="35"/>
        <v>3.4567008898015048E-2</v>
      </c>
      <c r="N78" s="161">
        <f t="shared" si="35"/>
        <v>3.6560711841204643E-2</v>
      </c>
      <c r="O78" s="161">
        <f t="shared" si="35"/>
        <v>3.8554414784394239E-2</v>
      </c>
      <c r="P78" s="161">
        <f t="shared" si="35"/>
        <v>4.0548117727583835E-2</v>
      </c>
      <c r="Q78" s="161">
        <f t="shared" si="35"/>
        <v>4.2541820670773431E-2</v>
      </c>
      <c r="R78" s="161">
        <f t="shared" si="35"/>
        <v>4.4535523613963027E-2</v>
      </c>
      <c r="S78" s="161">
        <f t="shared" si="35"/>
        <v>4.652922655715263E-2</v>
      </c>
      <c r="T78" s="161">
        <f t="shared" si="35"/>
        <v>4.8522929500342218E-2</v>
      </c>
      <c r="U78" s="161">
        <f t="shared" si="35"/>
        <v>5.0516632443531821E-2</v>
      </c>
      <c r="V78" s="161">
        <f t="shared" si="35"/>
        <v>5.251033538672141E-2</v>
      </c>
      <c r="W78" s="161">
        <f t="shared" si="35"/>
        <v>5.4504038329911006E-2</v>
      </c>
      <c r="X78" s="161">
        <f t="shared" si="35"/>
        <v>5.7327857631759051E-2</v>
      </c>
      <c r="Y78" s="161">
        <f t="shared" si="35"/>
        <v>6.0151676933607102E-2</v>
      </c>
      <c r="Z78" s="161">
        <f t="shared" si="35"/>
        <v>6.3805612594113617E-2</v>
      </c>
      <c r="AA78" s="161">
        <f t="shared" si="35"/>
        <v>6.9119780971937009E-2</v>
      </c>
      <c r="AB78" s="161">
        <f t="shared" si="35"/>
        <v>7.4433949349760442E-2</v>
      </c>
      <c r="AC78" s="161">
        <f t="shared" si="35"/>
        <v>7.974811772758382E-2</v>
      </c>
      <c r="AD78" s="161">
        <f t="shared" si="35"/>
        <v>8.5062286105407239E-2</v>
      </c>
      <c r="AE78" s="161">
        <f t="shared" si="35"/>
        <v>9.0376454483230645E-2</v>
      </c>
      <c r="AF78" s="161">
        <f t="shared" si="35"/>
        <v>9.4992470910335386E-2</v>
      </c>
      <c r="AG78" s="161">
        <f t="shared" si="35"/>
        <v>9.9608487337440085E-2</v>
      </c>
      <c r="AH78" s="161">
        <f t="shared" si="35"/>
        <v>0.10422450376454481</v>
      </c>
      <c r="AI78" s="161">
        <f t="shared" si="35"/>
        <v>0.10884052019164955</v>
      </c>
      <c r="AJ78" s="161">
        <f t="shared" ref="AJ78:BA78" si="36">AJ75/AJ77</f>
        <v>0.11760711841204653</v>
      </c>
      <c r="AK78" s="161">
        <f t="shared" si="36"/>
        <v>0.12637371663244351</v>
      </c>
      <c r="AL78" s="161">
        <f t="shared" si="36"/>
        <v>0.1351403148528405</v>
      </c>
      <c r="AM78" s="161">
        <f t="shared" si="36"/>
        <v>0.1439069130732375</v>
      </c>
      <c r="AN78" s="161">
        <f t="shared" si="36"/>
        <v>0.15267351129363446</v>
      </c>
      <c r="AO78" s="161">
        <f t="shared" si="36"/>
        <v>0.16144010951403145</v>
      </c>
      <c r="AP78" s="161">
        <f t="shared" si="36"/>
        <v>0.16559069130732371</v>
      </c>
      <c r="AQ78" s="161">
        <f t="shared" si="36"/>
        <v>0.16974127310061599</v>
      </c>
      <c r="AR78" s="161" t="e">
        <f t="shared" si="36"/>
        <v>#VALUE!</v>
      </c>
      <c r="AS78" s="161" t="e">
        <f t="shared" si="36"/>
        <v>#VALUE!</v>
      </c>
      <c r="AT78" s="161" t="e">
        <f t="shared" si="36"/>
        <v>#VALUE!</v>
      </c>
      <c r="AU78" s="161" t="e">
        <f t="shared" si="36"/>
        <v>#VALUE!</v>
      </c>
      <c r="AV78" s="161">
        <f t="shared" si="36"/>
        <v>0.21954825462012315</v>
      </c>
      <c r="AW78" s="161" t="e">
        <f t="shared" si="36"/>
        <v>#VALUE!</v>
      </c>
      <c r="AX78" s="161" t="e">
        <f t="shared" si="36"/>
        <v>#VALUE!</v>
      </c>
      <c r="AY78" s="161" t="e">
        <f t="shared" si="36"/>
        <v>#VALUE!</v>
      </c>
      <c r="AZ78" s="161" t="e">
        <f t="shared" si="36"/>
        <v>#VALUE!</v>
      </c>
      <c r="BA78" s="161" t="e">
        <f t="shared" si="36"/>
        <v>#VALUE!</v>
      </c>
      <c r="BB78" s="27"/>
      <c r="BC78" s="27"/>
      <c r="BD78" s="27"/>
      <c r="BE78" s="27"/>
    </row>
    <row r="79" spans="1:57" s="32" customFormat="1" x14ac:dyDescent="0.2">
      <c r="A79" s="31"/>
      <c r="B79" s="17"/>
      <c r="C79" s="92"/>
      <c r="D79" s="137"/>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7"/>
      <c r="AW79" s="137"/>
      <c r="AX79" s="137"/>
      <c r="AY79" s="137"/>
      <c r="AZ79" s="137"/>
      <c r="BA79" s="137"/>
      <c r="BB79" s="27"/>
      <c r="BC79" s="27"/>
      <c r="BD79" s="27"/>
      <c r="BE79" s="27"/>
    </row>
    <row r="80" spans="1:57" s="32" customFormat="1" x14ac:dyDescent="0.2">
      <c r="A80" s="31"/>
      <c r="B80" s="17"/>
      <c r="C80" s="136" t="s">
        <v>37</v>
      </c>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27"/>
      <c r="BC80" s="27"/>
      <c r="BD80" s="27"/>
      <c r="BE80" s="27"/>
    </row>
    <row r="81" spans="1:61" s="32" customFormat="1" x14ac:dyDescent="0.2">
      <c r="A81" s="31"/>
      <c r="B81" s="17"/>
      <c r="C81" s="92" t="s">
        <v>7</v>
      </c>
      <c r="D81" s="17">
        <f t="shared" ref="D81:AI81" si="37">$D$28/($D$38*$D$36*(1-$D$36)) + ($D$29*D78*(1-D78))/($D$38*D77*$D$32*(D78-D19)^2)</f>
        <v>0.26051261472063381</v>
      </c>
      <c r="E81" s="17">
        <f t="shared" si="37"/>
        <v>0.18138611833153595</v>
      </c>
      <c r="F81" s="17">
        <f t="shared" si="37"/>
        <v>0.15156852938253279</v>
      </c>
      <c r="G81" s="17">
        <f t="shared" si="37"/>
        <v>0.1207821947887863</v>
      </c>
      <c r="H81" s="17">
        <f t="shared" si="37"/>
        <v>0.10676152052236246</v>
      </c>
      <c r="I81" s="17">
        <f t="shared" si="37"/>
        <v>9.0480233017411482E-2</v>
      </c>
      <c r="J81" s="17">
        <f t="shared" si="37"/>
        <v>8.2349495216769805E-2</v>
      </c>
      <c r="K81" s="17">
        <f t="shared" si="37"/>
        <v>7.5493932308437636E-2</v>
      </c>
      <c r="L81" s="17">
        <f t="shared" si="37"/>
        <v>6.9648279365062141E-2</v>
      </c>
      <c r="M81" s="17">
        <f t="shared" si="37"/>
        <v>6.461169707756946E-2</v>
      </c>
      <c r="N81" s="17">
        <f t="shared" si="37"/>
        <v>6.3398289284010784E-2</v>
      </c>
      <c r="O81" s="17">
        <f t="shared" si="37"/>
        <v>6.2185152200270113E-2</v>
      </c>
      <c r="P81" s="17">
        <f t="shared" si="37"/>
        <v>6.098046613390002E-2</v>
      </c>
      <c r="Q81" s="17">
        <f t="shared" si="37"/>
        <v>5.979031336804428E-2</v>
      </c>
      <c r="R81" s="17">
        <f t="shared" si="37"/>
        <v>5.8619166398105285E-2</v>
      </c>
      <c r="S81" s="17">
        <f t="shared" si="37"/>
        <v>5.747025866128834E-2</v>
      </c>
      <c r="T81" s="17">
        <f t="shared" si="37"/>
        <v>5.6345867783014959E-2</v>
      </c>
      <c r="U81" s="17">
        <f t="shared" si="37"/>
        <v>5.5247533187366873E-2</v>
      </c>
      <c r="V81" s="17">
        <f t="shared" si="37"/>
        <v>5.4176224110161264E-2</v>
      </c>
      <c r="W81" s="17">
        <f t="shared" si="37"/>
        <v>5.3132469886474229E-2</v>
      </c>
      <c r="X81" s="17">
        <f t="shared" si="37"/>
        <v>5.3281539203531895E-2</v>
      </c>
      <c r="Y81" s="17">
        <f t="shared" si="37"/>
        <v>5.3355177879496667E-2</v>
      </c>
      <c r="Z81" s="17">
        <f t="shared" si="37"/>
        <v>5.4458748992721427E-2</v>
      </c>
      <c r="AA81" s="17">
        <f t="shared" si="37"/>
        <v>5.7627203570133262E-2</v>
      </c>
      <c r="AB81" s="17">
        <f t="shared" si="37"/>
        <v>6.0639946293969182E-2</v>
      </c>
      <c r="AC81" s="17">
        <f t="shared" si="37"/>
        <v>6.3503144786694166E-2</v>
      </c>
      <c r="AD81" s="17">
        <f t="shared" si="37"/>
        <v>6.6222696165679357E-2</v>
      </c>
      <c r="AE81" s="17">
        <f t="shared" si="37"/>
        <v>6.880424054105562E-2</v>
      </c>
      <c r="AF81" s="17">
        <f t="shared" si="37"/>
        <v>7.3236355700001698E-2</v>
      </c>
      <c r="AG81" s="17">
        <f t="shared" si="37"/>
        <v>7.779231590243342E-2</v>
      </c>
      <c r="AH81" s="17">
        <f t="shared" si="37"/>
        <v>8.2476882520726116E-2</v>
      </c>
      <c r="AI81" s="17">
        <f t="shared" si="37"/>
        <v>8.7295050112528597E-2</v>
      </c>
      <c r="AJ81" s="17">
        <f t="shared" ref="AJ81:BA81" si="38">$D$28/($D$38*$D$36*(1-$D$36)) + ($D$29*AJ78*(1-AJ78))/($D$38*AJ77*$D$32*(AJ78-AJ19)^2)</f>
        <v>9.9403622312623577E-2</v>
      </c>
      <c r="AK81" s="17">
        <f t="shared" si="38"/>
        <v>0.11283036246378307</v>
      </c>
      <c r="AL81" s="17">
        <f t="shared" si="38"/>
        <v>0.1277682393885172</v>
      </c>
      <c r="AM81" s="17">
        <f t="shared" si="38"/>
        <v>0.14444646817835449</v>
      </c>
      <c r="AN81" s="17">
        <f t="shared" si="38"/>
        <v>0.16313895151336394</v>
      </c>
      <c r="AO81" s="17">
        <f t="shared" si="38"/>
        <v>0.1841750992855056</v>
      </c>
      <c r="AP81" s="17">
        <f t="shared" si="38"/>
        <v>0.19843666549047764</v>
      </c>
      <c r="AQ81" s="17">
        <f t="shared" si="38"/>
        <v>0.214000917606983</v>
      </c>
      <c r="AR81" s="17" t="e">
        <f t="shared" si="38"/>
        <v>#VALUE!</v>
      </c>
      <c r="AS81" s="17" t="e">
        <f t="shared" si="38"/>
        <v>#VALUE!</v>
      </c>
      <c r="AT81" s="17" t="e">
        <f t="shared" si="38"/>
        <v>#VALUE!</v>
      </c>
      <c r="AU81" s="17" t="e">
        <f t="shared" si="38"/>
        <v>#VALUE!</v>
      </c>
      <c r="AV81" s="17">
        <f t="shared" si="38"/>
        <v>0.59942767695313814</v>
      </c>
      <c r="AW81" s="17" t="e">
        <f t="shared" si="38"/>
        <v>#VALUE!</v>
      </c>
      <c r="AX81" s="17" t="e">
        <f t="shared" si="38"/>
        <v>#VALUE!</v>
      </c>
      <c r="AY81" s="17" t="e">
        <f t="shared" si="38"/>
        <v>#VALUE!</v>
      </c>
      <c r="AZ81" s="17" t="e">
        <f t="shared" si="38"/>
        <v>#VALUE!</v>
      </c>
      <c r="BA81" s="17" t="e">
        <f t="shared" si="38"/>
        <v>#VALUE!</v>
      </c>
      <c r="BB81" s="27"/>
      <c r="BC81" s="27"/>
      <c r="BD81" s="27"/>
      <c r="BE81" s="27"/>
    </row>
    <row r="82" spans="1:61" s="32" customFormat="1" x14ac:dyDescent="0.2">
      <c r="A82" s="31"/>
      <c r="B82" s="17"/>
      <c r="C82" s="92" t="s">
        <v>8</v>
      </c>
      <c r="D82" s="17">
        <f t="shared" ref="D82:AI82" si="39">(D18*D15/(D15-D19*D12))^2</f>
        <v>2.8286195403591462E-2</v>
      </c>
      <c r="E82" s="17">
        <f t="shared" si="39"/>
        <v>2.5565783398811617E-2</v>
      </c>
      <c r="F82" s="17">
        <f t="shared" si="39"/>
        <v>1.8686357648259367E-2</v>
      </c>
      <c r="G82" s="17">
        <f t="shared" si="39"/>
        <v>1.4134636505783022E-2</v>
      </c>
      <c r="H82" s="17">
        <f t="shared" si="39"/>
        <v>1.1467319612148476E-2</v>
      </c>
      <c r="I82" s="17">
        <f t="shared" si="39"/>
        <v>9.397365499057158E-3</v>
      </c>
      <c r="J82" s="17">
        <f t="shared" si="39"/>
        <v>8.0415645838166731E-3</v>
      </c>
      <c r="K82" s="17">
        <f t="shared" si="39"/>
        <v>6.9997494527180276E-3</v>
      </c>
      <c r="L82" s="17">
        <f t="shared" si="39"/>
        <v>6.1774957686768425E-3</v>
      </c>
      <c r="M82" s="17">
        <f t="shared" si="39"/>
        <v>5.51416248386726E-3</v>
      </c>
      <c r="N82" s="17">
        <f t="shared" si="39"/>
        <v>5.2611423550049923E-3</v>
      </c>
      <c r="O82" s="17">
        <f t="shared" si="39"/>
        <v>5.0284825302584109E-3</v>
      </c>
      <c r="P82" s="17">
        <f t="shared" si="39"/>
        <v>4.8139083492448704E-3</v>
      </c>
      <c r="Q82" s="17">
        <f t="shared" si="39"/>
        <v>4.6154648573853213E-3</v>
      </c>
      <c r="R82" s="17">
        <f t="shared" si="39"/>
        <v>4.4314632985766227E-3</v>
      </c>
      <c r="S82" s="17">
        <f t="shared" si="39"/>
        <v>4.2604379036437533E-3</v>
      </c>
      <c r="T82" s="17">
        <f t="shared" si="39"/>
        <v>4.1011107516572849E-3</v>
      </c>
      <c r="U82" s="17">
        <f t="shared" si="39"/>
        <v>3.9523630102137001E-3</v>
      </c>
      <c r="V82" s="17">
        <f t="shared" si="39"/>
        <v>3.8132112528929786E-3</v>
      </c>
      <c r="W82" s="17">
        <f t="shared" si="39"/>
        <v>3.6827878454403686E-3</v>
      </c>
      <c r="X82" s="17">
        <f t="shared" si="39"/>
        <v>3.592805302282356E-3</v>
      </c>
      <c r="Y82" s="17">
        <f t="shared" si="39"/>
        <v>3.5067751452061034E-3</v>
      </c>
      <c r="Z82" s="17">
        <f t="shared" si="39"/>
        <v>3.4545034478696973E-3</v>
      </c>
      <c r="AA82" s="17">
        <f t="shared" si="39"/>
        <v>3.4628599607776688E-3</v>
      </c>
      <c r="AB82" s="17">
        <f t="shared" si="39"/>
        <v>3.4702633084893937E-3</v>
      </c>
      <c r="AC82" s="17">
        <f t="shared" si="39"/>
        <v>3.4767647655883334E-3</v>
      </c>
      <c r="AD82" s="17">
        <f t="shared" si="39"/>
        <v>3.482412532074501E-3</v>
      </c>
      <c r="AE82" s="17">
        <f t="shared" si="39"/>
        <v>3.4872519575303612E-3</v>
      </c>
      <c r="AF82" s="17">
        <f t="shared" si="39"/>
        <v>3.5784622590877215E-3</v>
      </c>
      <c r="AG82" s="17">
        <f t="shared" si="39"/>
        <v>3.6725376143841061E-3</v>
      </c>
      <c r="AH82" s="17">
        <f t="shared" si="39"/>
        <v>3.7695951630325954E-3</v>
      </c>
      <c r="AI82" s="17">
        <f t="shared" si="39"/>
        <v>3.8697579834259662E-3</v>
      </c>
      <c r="AJ82" s="17">
        <f t="shared" ref="AJ82:BA82" si="40">(AJ18*AJ15/(AJ15-AJ19*AJ12))^2</f>
        <v>4.1546627981698322E-3</v>
      </c>
      <c r="AK82" s="17">
        <f t="shared" si="40"/>
        <v>4.4699295520022556E-3</v>
      </c>
      <c r="AL82" s="17">
        <f t="shared" si="40"/>
        <v>4.8199591527252009E-3</v>
      </c>
      <c r="AM82" s="17">
        <f t="shared" si="40"/>
        <v>5.2099743851361426E-3</v>
      </c>
      <c r="AN82" s="17">
        <f t="shared" si="40"/>
        <v>5.6462105934420416E-3</v>
      </c>
      <c r="AO82" s="17">
        <f t="shared" si="40"/>
        <v>6.1361599442641837E-3</v>
      </c>
      <c r="AP82" s="17">
        <f t="shared" si="40"/>
        <v>6.4816591408210777E-3</v>
      </c>
      <c r="AQ82" s="17">
        <f t="shared" si="40"/>
        <v>6.8571817677947804E-3</v>
      </c>
      <c r="AR82" s="17" t="e">
        <f t="shared" si="40"/>
        <v>#DIV/0!</v>
      </c>
      <c r="AS82" s="17" t="e">
        <f t="shared" si="40"/>
        <v>#DIV/0!</v>
      </c>
      <c r="AT82" s="17" t="e">
        <f t="shared" si="40"/>
        <v>#DIV/0!</v>
      </c>
      <c r="AU82" s="17" t="e">
        <f t="shared" si="40"/>
        <v>#DIV/0!</v>
      </c>
      <c r="AV82" s="17">
        <f t="shared" si="40"/>
        <v>1.8742913832199549E-2</v>
      </c>
      <c r="AW82" s="17" t="e">
        <f t="shared" si="40"/>
        <v>#DIV/0!</v>
      </c>
      <c r="AX82" s="17" t="e">
        <f t="shared" si="40"/>
        <v>#DIV/0!</v>
      </c>
      <c r="AY82" s="17" t="e">
        <f t="shared" si="40"/>
        <v>#DIV/0!</v>
      </c>
      <c r="AZ82" s="17" t="e">
        <f t="shared" si="40"/>
        <v>#DIV/0!</v>
      </c>
      <c r="BA82" s="17" t="e">
        <f t="shared" si="40"/>
        <v>#DIV/0!</v>
      </c>
      <c r="BB82" s="27"/>
      <c r="BC82" s="27"/>
      <c r="BD82" s="27"/>
      <c r="BE82" s="27"/>
    </row>
    <row r="83" spans="1:61" s="32" customFormat="1" x14ac:dyDescent="0.2">
      <c r="A83" s="31"/>
      <c r="B83" s="17"/>
      <c r="C83" s="92" t="s">
        <v>9</v>
      </c>
      <c r="D83" s="17">
        <f t="shared" ref="D83:AI83" si="41">(D20*D19*(D15 - D78*D12)/((D15 - D19*D12)*(D78 - D19)))^2</f>
        <v>1.562113569383808E-2</v>
      </c>
      <c r="E83" s="17">
        <f t="shared" si="41"/>
        <v>8.5663757847197486E-3</v>
      </c>
      <c r="F83" s="17">
        <f t="shared" si="41"/>
        <v>1.2524649273689742E-2</v>
      </c>
      <c r="G83" s="17">
        <f t="shared" si="41"/>
        <v>8.5663757847197486E-3</v>
      </c>
      <c r="H83" s="17">
        <f t="shared" si="41"/>
        <v>1.1310828721069831E-2</v>
      </c>
      <c r="I83" s="17">
        <f t="shared" si="41"/>
        <v>8.5663757847197486E-3</v>
      </c>
      <c r="J83" s="17">
        <f t="shared" si="41"/>
        <v>8.6389486966601363E-3</v>
      </c>
      <c r="K83" s="17">
        <f t="shared" si="41"/>
        <v>8.421574171628983E-3</v>
      </c>
      <c r="L83" s="17">
        <f t="shared" si="41"/>
        <v>8.1830582928955169E-3</v>
      </c>
      <c r="M83" s="17">
        <f t="shared" si="41"/>
        <v>7.6543564899806578E-3</v>
      </c>
      <c r="N83" s="17">
        <f t="shared" si="41"/>
        <v>8.0022107055590236E-3</v>
      </c>
      <c r="O83" s="17">
        <f t="shared" si="41"/>
        <v>8.1218470140055725E-3</v>
      </c>
      <c r="P83" s="17">
        <f t="shared" si="41"/>
        <v>8.5950059776921696E-3</v>
      </c>
      <c r="Q83" s="17">
        <f t="shared" si="41"/>
        <v>8.9463644666969693E-3</v>
      </c>
      <c r="R83" s="17">
        <f t="shared" si="41"/>
        <v>9.180801958825641E-3</v>
      </c>
      <c r="S83" s="17">
        <f t="shared" si="41"/>
        <v>9.3049505590257729E-3</v>
      </c>
      <c r="T83" s="17">
        <f t="shared" si="41"/>
        <v>9.326597427418315E-3</v>
      </c>
      <c r="U83" s="17">
        <f t="shared" si="41"/>
        <v>9.2542471004404582E-3</v>
      </c>
      <c r="V83" s="17">
        <f t="shared" si="41"/>
        <v>9.0968015940725653E-3</v>
      </c>
      <c r="W83" s="17">
        <f t="shared" si="41"/>
        <v>8.8633276347128281E-3</v>
      </c>
      <c r="X83" s="17">
        <f t="shared" si="41"/>
        <v>9.5745234588889647E-3</v>
      </c>
      <c r="Y83" s="17">
        <f t="shared" si="41"/>
        <v>1.0104960776709006E-2</v>
      </c>
      <c r="Z83" s="17">
        <f t="shared" si="41"/>
        <v>1.1440074850597823E-2</v>
      </c>
      <c r="AA83" s="17">
        <f t="shared" si="41"/>
        <v>1.3130239119626018E-2</v>
      </c>
      <c r="AB83" s="17">
        <f t="shared" si="41"/>
        <v>1.5688135351201771E-2</v>
      </c>
      <c r="AC83" s="17">
        <f t="shared" si="41"/>
        <v>1.5701722964348987E-2</v>
      </c>
      <c r="AD83" s="17">
        <f t="shared" si="41"/>
        <v>1.9562035111267657E-2</v>
      </c>
      <c r="AE83" s="17">
        <f t="shared" si="41"/>
        <v>2.0711791440023043E-2</v>
      </c>
      <c r="AF83" s="17">
        <f t="shared" si="41"/>
        <v>2.2025894421162342E-2</v>
      </c>
      <c r="AG83" s="17">
        <f t="shared" si="41"/>
        <v>2.6723333794677808E-2</v>
      </c>
      <c r="AH83" s="17">
        <f t="shared" si="41"/>
        <v>2.7249104483240146E-2</v>
      </c>
      <c r="AI83" s="17">
        <f t="shared" si="41"/>
        <v>3.2230455351027081E-2</v>
      </c>
      <c r="AJ83" s="17">
        <f t="shared" ref="AJ83:BA83" si="42">(AJ20*AJ19*(AJ15 - AJ78*AJ12)/((AJ15 - AJ19*AJ12)*(AJ78 - AJ19)))^2</f>
        <v>3.7731422083933042E-2</v>
      </c>
      <c r="AK83" s="17">
        <f t="shared" si="42"/>
        <v>4.2187870607119538E-2</v>
      </c>
      <c r="AL83" s="17">
        <f t="shared" si="42"/>
        <v>4.5201377162933321E-2</v>
      </c>
      <c r="AM83" s="17">
        <f t="shared" si="42"/>
        <v>5.8745124445373699E-2</v>
      </c>
      <c r="AN83" s="17">
        <f t="shared" si="42"/>
        <v>7.5289400298929318E-2</v>
      </c>
      <c r="AO83" s="17">
        <f t="shared" si="42"/>
        <v>7.5400898840190328E-2</v>
      </c>
      <c r="AP83" s="17">
        <f t="shared" si="42"/>
        <v>8.589084444614796E-2</v>
      </c>
      <c r="AQ83" s="17">
        <f t="shared" si="42"/>
        <v>9.7722570056469865E-2</v>
      </c>
      <c r="AR83" s="17" t="e">
        <f t="shared" si="42"/>
        <v>#VALUE!</v>
      </c>
      <c r="AS83" s="17" t="e">
        <f t="shared" si="42"/>
        <v>#VALUE!</v>
      </c>
      <c r="AT83" s="17" t="e">
        <f t="shared" si="42"/>
        <v>#VALUE!</v>
      </c>
      <c r="AU83" s="17" t="e">
        <f t="shared" si="42"/>
        <v>#VALUE!</v>
      </c>
      <c r="AV83" s="17">
        <f t="shared" si="42"/>
        <v>0.35344190695886496</v>
      </c>
      <c r="AW83" s="17" t="e">
        <f t="shared" si="42"/>
        <v>#VALUE!</v>
      </c>
      <c r="AX83" s="17" t="e">
        <f t="shared" si="42"/>
        <v>#VALUE!</v>
      </c>
      <c r="AY83" s="17" t="e">
        <f t="shared" si="42"/>
        <v>#VALUE!</v>
      </c>
      <c r="AZ83" s="17" t="e">
        <f t="shared" si="42"/>
        <v>#VALUE!</v>
      </c>
      <c r="BA83" s="17" t="e">
        <f t="shared" si="42"/>
        <v>#VALUE!</v>
      </c>
      <c r="BB83" s="27"/>
      <c r="BC83" s="27"/>
      <c r="BD83" s="27"/>
      <c r="BE83" s="27"/>
    </row>
    <row r="84" spans="1:61" s="32" customFormat="1" x14ac:dyDescent="0.2">
      <c r="A84" s="31"/>
      <c r="B84" s="17"/>
      <c r="C84" s="92"/>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27"/>
      <c r="BC84" s="27"/>
      <c r="BD84" s="27"/>
      <c r="BE84" s="27"/>
    </row>
    <row r="85" spans="1:61" s="32" customFormat="1" x14ac:dyDescent="0.2">
      <c r="A85" s="31"/>
      <c r="B85" s="17"/>
      <c r="C85" s="92" t="s">
        <v>10</v>
      </c>
      <c r="D85" s="17">
        <f>SUM(D81:D83)</f>
        <v>0.30441994581806336</v>
      </c>
      <c r="E85" s="17">
        <f t="shared" ref="E85:Y85" si="43">SUM(E81:E83)</f>
        <v>0.2155182775150673</v>
      </c>
      <c r="F85" s="17">
        <f t="shared" si="43"/>
        <v>0.1827795363044819</v>
      </c>
      <c r="G85" s="17">
        <f t="shared" si="43"/>
        <v>0.14348320707928908</v>
      </c>
      <c r="H85" s="17">
        <f t="shared" si="43"/>
        <v>0.12953966885558077</v>
      </c>
      <c r="I85" s="17">
        <f t="shared" si="43"/>
        <v>0.10844397430118839</v>
      </c>
      <c r="J85" s="17">
        <f t="shared" si="43"/>
        <v>9.9030008497246622E-2</v>
      </c>
      <c r="K85" s="17">
        <f t="shared" si="43"/>
        <v>9.0915255932784655E-2</v>
      </c>
      <c r="L85" s="17">
        <f t="shared" si="43"/>
        <v>8.4008833426634497E-2</v>
      </c>
      <c r="M85" s="17">
        <f t="shared" si="43"/>
        <v>7.778021605141737E-2</v>
      </c>
      <c r="N85" s="17">
        <f t="shared" si="43"/>
        <v>7.6661642344574801E-2</v>
      </c>
      <c r="O85" s="17">
        <f t="shared" si="43"/>
        <v>7.5335481744534097E-2</v>
      </c>
      <c r="P85" s="17">
        <f t="shared" si="43"/>
        <v>7.4389380460837054E-2</v>
      </c>
      <c r="Q85" s="17">
        <f t="shared" si="43"/>
        <v>7.3352142692126573E-2</v>
      </c>
      <c r="R85" s="17">
        <f t="shared" si="43"/>
        <v>7.223143165550755E-2</v>
      </c>
      <c r="S85" s="17">
        <f t="shared" si="43"/>
        <v>7.1035647123957865E-2</v>
      </c>
      <c r="T85" s="17">
        <f t="shared" si="43"/>
        <v>6.977357596209055E-2</v>
      </c>
      <c r="U85" s="17">
        <f t="shared" si="43"/>
        <v>6.8454143298021033E-2</v>
      </c>
      <c r="V85" s="17">
        <f t="shared" si="43"/>
        <v>6.7086236957126816E-2</v>
      </c>
      <c r="W85" s="17">
        <f t="shared" si="43"/>
        <v>6.5678585366627434E-2</v>
      </c>
      <c r="X85" s="17">
        <f t="shared" si="43"/>
        <v>6.6448867964703215E-2</v>
      </c>
      <c r="Y85" s="17">
        <f t="shared" si="43"/>
        <v>6.6966913801411773E-2</v>
      </c>
      <c r="Z85" s="17">
        <f t="shared" ref="Z85:BA85" si="44">SUM(Z81:Z83)</f>
        <v>6.9353327291188954E-2</v>
      </c>
      <c r="AA85" s="17">
        <f t="shared" si="44"/>
        <v>7.4220302650536946E-2</v>
      </c>
      <c r="AB85" s="17">
        <f t="shared" si="44"/>
        <v>7.9798344953660338E-2</v>
      </c>
      <c r="AC85" s="17">
        <f t="shared" si="44"/>
        <v>8.2681632516631492E-2</v>
      </c>
      <c r="AD85" s="17">
        <f t="shared" si="44"/>
        <v>8.926714380902151E-2</v>
      </c>
      <c r="AE85" s="17">
        <f t="shared" si="44"/>
        <v>9.3003283938609016E-2</v>
      </c>
      <c r="AF85" s="17">
        <f t="shared" si="44"/>
        <v>9.8840712380251772E-2</v>
      </c>
      <c r="AG85" s="17">
        <f t="shared" si="44"/>
        <v>0.10818818731149533</v>
      </c>
      <c r="AH85" s="17">
        <f t="shared" si="44"/>
        <v>0.11349558216699887</v>
      </c>
      <c r="AI85" s="17">
        <f t="shared" si="44"/>
        <v>0.12339526344698165</v>
      </c>
      <c r="AJ85" s="17">
        <f t="shared" si="44"/>
        <v>0.14128970719472644</v>
      </c>
      <c r="AK85" s="17">
        <f t="shared" si="44"/>
        <v>0.15948816262290488</v>
      </c>
      <c r="AL85" s="17">
        <f t="shared" si="44"/>
        <v>0.17778957570417572</v>
      </c>
      <c r="AM85" s="17">
        <f t="shared" si="44"/>
        <v>0.20840156700886434</v>
      </c>
      <c r="AN85" s="17">
        <f t="shared" si="44"/>
        <v>0.24407456240573527</v>
      </c>
      <c r="AO85" s="17">
        <f t="shared" si="44"/>
        <v>0.26571215806996012</v>
      </c>
      <c r="AP85" s="17">
        <f t="shared" si="44"/>
        <v>0.29080916907744669</v>
      </c>
      <c r="AQ85" s="17">
        <f t="shared" si="44"/>
        <v>0.31858066943124763</v>
      </c>
      <c r="AR85" s="17" t="e">
        <f t="shared" si="44"/>
        <v>#VALUE!</v>
      </c>
      <c r="AS85" s="17" t="e">
        <f t="shared" si="44"/>
        <v>#VALUE!</v>
      </c>
      <c r="AT85" s="17" t="e">
        <f t="shared" si="44"/>
        <v>#VALUE!</v>
      </c>
      <c r="AU85" s="17" t="e">
        <f t="shared" si="44"/>
        <v>#VALUE!</v>
      </c>
      <c r="AV85" s="17">
        <f t="shared" si="44"/>
        <v>0.97161249774420266</v>
      </c>
      <c r="AW85" s="17" t="e">
        <f t="shared" si="44"/>
        <v>#VALUE!</v>
      </c>
      <c r="AX85" s="17" t="e">
        <f t="shared" si="44"/>
        <v>#VALUE!</v>
      </c>
      <c r="AY85" s="17" t="e">
        <f t="shared" si="44"/>
        <v>#VALUE!</v>
      </c>
      <c r="AZ85" s="17" t="e">
        <f t="shared" si="44"/>
        <v>#VALUE!</v>
      </c>
      <c r="BA85" s="17" t="e">
        <f t="shared" si="44"/>
        <v>#VALUE!</v>
      </c>
      <c r="BB85" s="27"/>
      <c r="BC85" s="27"/>
      <c r="BD85" s="27"/>
      <c r="BE85" s="27"/>
    </row>
    <row r="86" spans="1:61" s="32" customFormat="1" x14ac:dyDescent="0.2">
      <c r="A86" s="31"/>
      <c r="B86" s="17"/>
      <c r="C86" s="92"/>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27"/>
      <c r="BC86" s="27"/>
      <c r="BD86" s="27"/>
      <c r="BE86" s="27"/>
    </row>
    <row r="87" spans="1:61" s="32" customFormat="1" x14ac:dyDescent="0.2">
      <c r="A87" s="31"/>
      <c r="B87" s="17"/>
      <c r="C87" s="92" t="s">
        <v>75</v>
      </c>
      <c r="D87" s="17">
        <f t="shared" ref="D87:AI87" si="45">D82+D83</f>
        <v>4.3907331097429544E-2</v>
      </c>
      <c r="E87" s="17">
        <f t="shared" si="45"/>
        <v>3.4132159183531366E-2</v>
      </c>
      <c r="F87" s="17">
        <f t="shared" si="45"/>
        <v>3.1211006921949107E-2</v>
      </c>
      <c r="G87" s="17">
        <f t="shared" si="45"/>
        <v>2.2701012290502771E-2</v>
      </c>
      <c r="H87" s="17">
        <f t="shared" si="45"/>
        <v>2.2778148333218305E-2</v>
      </c>
      <c r="I87" s="17">
        <f t="shared" si="45"/>
        <v>1.7963741283776907E-2</v>
      </c>
      <c r="J87" s="17">
        <f t="shared" si="45"/>
        <v>1.6680513280476809E-2</v>
      </c>
      <c r="K87" s="17">
        <f t="shared" si="45"/>
        <v>1.5421323624347011E-2</v>
      </c>
      <c r="L87" s="17">
        <f t="shared" si="45"/>
        <v>1.4360554061572359E-2</v>
      </c>
      <c r="M87" s="17">
        <f t="shared" si="45"/>
        <v>1.3168518973847918E-2</v>
      </c>
      <c r="N87" s="17">
        <f t="shared" si="45"/>
        <v>1.3263353060564016E-2</v>
      </c>
      <c r="O87" s="17">
        <f t="shared" si="45"/>
        <v>1.3150329544263983E-2</v>
      </c>
      <c r="P87" s="17">
        <f t="shared" si="45"/>
        <v>1.3408914326937041E-2</v>
      </c>
      <c r="Q87" s="17">
        <f t="shared" si="45"/>
        <v>1.356182932408229E-2</v>
      </c>
      <c r="R87" s="17">
        <f t="shared" si="45"/>
        <v>1.3612265257402265E-2</v>
      </c>
      <c r="S87" s="17">
        <f t="shared" si="45"/>
        <v>1.3565388462669525E-2</v>
      </c>
      <c r="T87" s="17">
        <f t="shared" si="45"/>
        <v>1.34277081790756E-2</v>
      </c>
      <c r="U87" s="17">
        <f t="shared" si="45"/>
        <v>1.3206610110654158E-2</v>
      </c>
      <c r="V87" s="17">
        <f t="shared" si="45"/>
        <v>1.2910012846965545E-2</v>
      </c>
      <c r="W87" s="17">
        <f t="shared" si="45"/>
        <v>1.2546115480153197E-2</v>
      </c>
      <c r="X87" s="17">
        <f t="shared" si="45"/>
        <v>1.3167328761171321E-2</v>
      </c>
      <c r="Y87" s="17">
        <f t="shared" si="45"/>
        <v>1.361173592191511E-2</v>
      </c>
      <c r="Z87" s="17">
        <f t="shared" si="45"/>
        <v>1.489457829846752E-2</v>
      </c>
      <c r="AA87" s="17">
        <f t="shared" si="45"/>
        <v>1.6593099080403687E-2</v>
      </c>
      <c r="AB87" s="17">
        <f t="shared" si="45"/>
        <v>1.9158398659691166E-2</v>
      </c>
      <c r="AC87" s="17">
        <f t="shared" si="45"/>
        <v>1.917848772993732E-2</v>
      </c>
      <c r="AD87" s="17">
        <f t="shared" si="45"/>
        <v>2.3044447643342156E-2</v>
      </c>
      <c r="AE87" s="17">
        <f t="shared" si="45"/>
        <v>2.4199043397553403E-2</v>
      </c>
      <c r="AF87" s="17">
        <f t="shared" si="45"/>
        <v>2.5604356680250063E-2</v>
      </c>
      <c r="AG87" s="17">
        <f t="shared" si="45"/>
        <v>3.0395871409061914E-2</v>
      </c>
      <c r="AH87" s="17">
        <f t="shared" si="45"/>
        <v>3.101869964627274E-2</v>
      </c>
      <c r="AI87" s="17">
        <f t="shared" si="45"/>
        <v>3.6100213334453048E-2</v>
      </c>
      <c r="AJ87" s="17">
        <f t="shared" ref="AJ87:BA87" si="46">AJ82+AJ83</f>
        <v>4.1886084882102874E-2</v>
      </c>
      <c r="AK87" s="17">
        <f t="shared" si="46"/>
        <v>4.6657800159121791E-2</v>
      </c>
      <c r="AL87" s="17">
        <f t="shared" si="46"/>
        <v>5.002133631565852E-2</v>
      </c>
      <c r="AM87" s="17">
        <f t="shared" si="46"/>
        <v>6.3955098830509843E-2</v>
      </c>
      <c r="AN87" s="17">
        <f t="shared" si="46"/>
        <v>8.0935610892371362E-2</v>
      </c>
      <c r="AO87" s="17">
        <f t="shared" si="46"/>
        <v>8.1537058784454511E-2</v>
      </c>
      <c r="AP87" s="17">
        <f t="shared" si="46"/>
        <v>9.2372503586969038E-2</v>
      </c>
      <c r="AQ87" s="17">
        <f t="shared" si="46"/>
        <v>0.10457975182426464</v>
      </c>
      <c r="AR87" s="17" t="e">
        <f t="shared" si="46"/>
        <v>#DIV/0!</v>
      </c>
      <c r="AS87" s="17" t="e">
        <f t="shared" si="46"/>
        <v>#DIV/0!</v>
      </c>
      <c r="AT87" s="17" t="e">
        <f t="shared" si="46"/>
        <v>#DIV/0!</v>
      </c>
      <c r="AU87" s="17" t="e">
        <f t="shared" si="46"/>
        <v>#DIV/0!</v>
      </c>
      <c r="AV87" s="17">
        <f t="shared" si="46"/>
        <v>0.37218482079106452</v>
      </c>
      <c r="AW87" s="17" t="e">
        <f t="shared" si="46"/>
        <v>#DIV/0!</v>
      </c>
      <c r="AX87" s="17" t="e">
        <f t="shared" si="46"/>
        <v>#DIV/0!</v>
      </c>
      <c r="AY87" s="17" t="e">
        <f t="shared" si="46"/>
        <v>#DIV/0!</v>
      </c>
      <c r="AZ87" s="17" t="e">
        <f t="shared" si="46"/>
        <v>#DIV/0!</v>
      </c>
      <c r="BA87" s="17" t="e">
        <f t="shared" si="46"/>
        <v>#DIV/0!</v>
      </c>
      <c r="BB87" s="27"/>
      <c r="BC87" s="27"/>
      <c r="BD87" s="27"/>
      <c r="BE87" s="27"/>
    </row>
    <row r="88" spans="1:61" s="32" customFormat="1" x14ac:dyDescent="0.2">
      <c r="A88" s="31"/>
      <c r="B88" s="17"/>
      <c r="C88" s="92"/>
      <c r="D88" s="17"/>
      <c r="E88" s="17"/>
      <c r="F88" s="17"/>
      <c r="G88" s="17"/>
      <c r="H88" s="17"/>
      <c r="I88" s="17"/>
      <c r="J88" s="17"/>
      <c r="K88" s="17"/>
      <c r="L88" s="17"/>
      <c r="M88" s="17"/>
      <c r="N88" s="17"/>
      <c r="O88" s="17"/>
      <c r="P88" s="17"/>
      <c r="Q88" s="17"/>
      <c r="R88" s="17"/>
      <c r="S88" s="92"/>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27"/>
      <c r="BC88" s="27"/>
      <c r="BD88" s="27"/>
      <c r="BE88" s="27"/>
    </row>
    <row r="89" spans="1:61" s="32" customFormat="1" x14ac:dyDescent="0.2">
      <c r="A89" s="31"/>
      <c r="B89" s="17"/>
      <c r="C89" s="92" t="s">
        <v>12</v>
      </c>
      <c r="D89" s="17">
        <v>0.05</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27"/>
      <c r="BC89" s="27"/>
      <c r="BD89" s="27"/>
      <c r="BE89" s="27"/>
      <c r="BF89" s="27"/>
      <c r="BG89" s="27"/>
      <c r="BH89" s="27"/>
      <c r="BI89" s="27"/>
    </row>
    <row r="90" spans="1:61" s="32" customFormat="1" x14ac:dyDescent="0.2">
      <c r="A90" s="31"/>
      <c r="B90" s="17"/>
      <c r="C90" s="92" t="s">
        <v>13</v>
      </c>
      <c r="D90" s="17">
        <f>NORMSINV(1-D89/2)</f>
        <v>1.9599639845400536</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27"/>
      <c r="BC90" s="27"/>
      <c r="BD90" s="27"/>
      <c r="BE90" s="27"/>
      <c r="BF90" s="27"/>
      <c r="BG90" s="27"/>
      <c r="BH90" s="27"/>
      <c r="BI90" s="27"/>
    </row>
    <row r="91" spans="1:61" s="32" customFormat="1" x14ac:dyDescent="0.2">
      <c r="A91" s="31"/>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27"/>
      <c r="BC91" s="27"/>
      <c r="BD91" s="27"/>
      <c r="BE91" s="27"/>
      <c r="BF91" s="27"/>
      <c r="BG91" s="27"/>
      <c r="BH91" s="27"/>
      <c r="BI91" s="27"/>
    </row>
    <row r="92" spans="1:61" s="27" customFormat="1" x14ac:dyDescent="0.2">
      <c r="A92" s="17"/>
      <c r="B92" s="17"/>
      <c r="C92" s="92" t="s">
        <v>70</v>
      </c>
      <c r="D92" s="17" t="b">
        <f t="shared" ref="D92:AI92" si="47">OR(D15&gt;D12,D23&lt;0,D24&lt;0,D25&lt;0,D15-D19*D12&lt;=0,$D$32&lt;=0,$D$32&gt;1,NOT(AND(ISNUMBER($D$28),$D$28&gt;0)),NOT(AND(ISNUMBER($D$29),$D$29&gt;0)),NOT(AND(ISNUMBER($D$38),$D$38&gt;0)),NOT(AND(ISNUMBER($D$35),$D$35&gt;0)),NOT(AND(ISNUMBER($D$36),$D$36&gt;0,$D$36&lt;1)))</f>
        <v>0</v>
      </c>
      <c r="E92" s="17" t="b">
        <f t="shared" si="47"/>
        <v>0</v>
      </c>
      <c r="F92" s="17" t="b">
        <f t="shared" si="47"/>
        <v>0</v>
      </c>
      <c r="G92" s="17" t="b">
        <f t="shared" si="47"/>
        <v>0</v>
      </c>
      <c r="H92" s="17" t="b">
        <f t="shared" si="47"/>
        <v>0</v>
      </c>
      <c r="I92" s="17" t="b">
        <f t="shared" si="47"/>
        <v>0</v>
      </c>
      <c r="J92" s="17" t="b">
        <f t="shared" si="47"/>
        <v>0</v>
      </c>
      <c r="K92" s="17" t="b">
        <f t="shared" si="47"/>
        <v>0</v>
      </c>
      <c r="L92" s="17" t="b">
        <f t="shared" si="47"/>
        <v>0</v>
      </c>
      <c r="M92" s="17" t="b">
        <f t="shared" si="47"/>
        <v>0</v>
      </c>
      <c r="N92" s="17" t="b">
        <f t="shared" si="47"/>
        <v>0</v>
      </c>
      <c r="O92" s="17" t="b">
        <f t="shared" si="47"/>
        <v>0</v>
      </c>
      <c r="P92" s="17" t="b">
        <f t="shared" si="47"/>
        <v>0</v>
      </c>
      <c r="Q92" s="17" t="b">
        <f t="shared" si="47"/>
        <v>0</v>
      </c>
      <c r="R92" s="17" t="b">
        <f t="shared" si="47"/>
        <v>0</v>
      </c>
      <c r="S92" s="17" t="b">
        <f t="shared" si="47"/>
        <v>0</v>
      </c>
      <c r="T92" s="17" t="b">
        <f t="shared" si="47"/>
        <v>0</v>
      </c>
      <c r="U92" s="17" t="b">
        <f t="shared" si="47"/>
        <v>0</v>
      </c>
      <c r="V92" s="17" t="b">
        <f t="shared" si="47"/>
        <v>0</v>
      </c>
      <c r="W92" s="17" t="b">
        <f t="shared" si="47"/>
        <v>0</v>
      </c>
      <c r="X92" s="17" t="b">
        <f t="shared" si="47"/>
        <v>0</v>
      </c>
      <c r="Y92" s="17" t="b">
        <f t="shared" si="47"/>
        <v>0</v>
      </c>
      <c r="Z92" s="17" t="b">
        <f t="shared" si="47"/>
        <v>0</v>
      </c>
      <c r="AA92" s="17" t="b">
        <f t="shared" si="47"/>
        <v>0</v>
      </c>
      <c r="AB92" s="17" t="b">
        <f t="shared" si="47"/>
        <v>0</v>
      </c>
      <c r="AC92" s="17" t="b">
        <f t="shared" si="47"/>
        <v>0</v>
      </c>
      <c r="AD92" s="17" t="b">
        <f t="shared" si="47"/>
        <v>0</v>
      </c>
      <c r="AE92" s="17" t="b">
        <f t="shared" si="47"/>
        <v>0</v>
      </c>
      <c r="AF92" s="17" t="b">
        <f t="shared" si="47"/>
        <v>0</v>
      </c>
      <c r="AG92" s="17" t="b">
        <f t="shared" si="47"/>
        <v>0</v>
      </c>
      <c r="AH92" s="17" t="b">
        <f t="shared" si="47"/>
        <v>0</v>
      </c>
      <c r="AI92" s="17" t="b">
        <f t="shared" si="47"/>
        <v>0</v>
      </c>
      <c r="AJ92" s="17" t="b">
        <f t="shared" ref="AJ92:BA92" si="48">OR(AJ15&gt;AJ12,AJ23&lt;0,AJ24&lt;0,AJ25&lt;0,AJ15-AJ19*AJ12&lt;=0,$D$32&lt;=0,$D$32&gt;1,NOT(AND(ISNUMBER($D$28),$D$28&gt;0)),NOT(AND(ISNUMBER($D$29),$D$29&gt;0)),NOT(AND(ISNUMBER($D$38),$D$38&gt;0)),NOT(AND(ISNUMBER($D$35),$D$35&gt;0)),NOT(AND(ISNUMBER($D$36),$D$36&gt;0,$D$36&lt;1)))</f>
        <v>0</v>
      </c>
      <c r="AK92" s="17" t="b">
        <f t="shared" si="48"/>
        <v>0</v>
      </c>
      <c r="AL92" s="17" t="b">
        <f t="shared" si="48"/>
        <v>0</v>
      </c>
      <c r="AM92" s="17" t="b">
        <f t="shared" si="48"/>
        <v>0</v>
      </c>
      <c r="AN92" s="17" t="b">
        <f t="shared" si="48"/>
        <v>0</v>
      </c>
      <c r="AO92" s="17" t="b">
        <f t="shared" si="48"/>
        <v>0</v>
      </c>
      <c r="AP92" s="17" t="b">
        <f t="shared" si="48"/>
        <v>0</v>
      </c>
      <c r="AQ92" s="17" t="b">
        <f t="shared" si="48"/>
        <v>0</v>
      </c>
      <c r="AR92" s="17" t="b">
        <f t="shared" si="48"/>
        <v>1</v>
      </c>
      <c r="AS92" s="17" t="b">
        <f t="shared" si="48"/>
        <v>1</v>
      </c>
      <c r="AT92" s="17" t="b">
        <f t="shared" si="48"/>
        <v>1</v>
      </c>
      <c r="AU92" s="17" t="b">
        <f t="shared" si="48"/>
        <v>1</v>
      </c>
      <c r="AV92" s="17" t="b">
        <f t="shared" si="48"/>
        <v>0</v>
      </c>
      <c r="AW92" s="17" t="b">
        <f t="shared" si="48"/>
        <v>1</v>
      </c>
      <c r="AX92" s="17" t="b">
        <f t="shared" si="48"/>
        <v>1</v>
      </c>
      <c r="AY92" s="17" t="b">
        <f t="shared" si="48"/>
        <v>1</v>
      </c>
      <c r="AZ92" s="17" t="b">
        <f t="shared" si="48"/>
        <v>1</v>
      </c>
      <c r="BA92" s="17" t="b">
        <f t="shared" si="48"/>
        <v>1</v>
      </c>
    </row>
    <row r="93" spans="1:61" s="27" customFormat="1" x14ac:dyDescent="0.2">
      <c r="A93" s="17"/>
      <c r="B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row>
    <row r="94" spans="1:61" s="27" customForma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row>
    <row r="95" spans="1:61" s="27" customForma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row>
    <row r="96" spans="1:61" s="27" customFormat="1" x14ac:dyDescent="0.2">
      <c r="A96" s="17"/>
      <c r="B96" s="17"/>
      <c r="C96" s="92" t="s">
        <v>72</v>
      </c>
      <c r="D96" s="91">
        <f t="shared" ref="D96:AI96" si="49">IF(D92,NA(),D9)</f>
        <v>0.1</v>
      </c>
      <c r="E96" s="91">
        <f t="shared" si="49"/>
        <v>0.2</v>
      </c>
      <c r="F96" s="91">
        <f t="shared" si="49"/>
        <v>0.3</v>
      </c>
      <c r="G96" s="91">
        <f t="shared" si="49"/>
        <v>0.4</v>
      </c>
      <c r="H96" s="91">
        <f t="shared" si="49"/>
        <v>0.5</v>
      </c>
      <c r="I96" s="91">
        <f t="shared" si="49"/>
        <v>0.6</v>
      </c>
      <c r="J96" s="91">
        <f t="shared" si="49"/>
        <v>0.7</v>
      </c>
      <c r="K96" s="91">
        <f t="shared" si="49"/>
        <v>0.8</v>
      </c>
      <c r="L96" s="91">
        <f t="shared" si="49"/>
        <v>0.9</v>
      </c>
      <c r="M96" s="91">
        <f t="shared" si="49"/>
        <v>1</v>
      </c>
      <c r="N96" s="91">
        <f t="shared" si="49"/>
        <v>1.1000000000000001</v>
      </c>
      <c r="O96" s="91">
        <f t="shared" si="49"/>
        <v>1.2</v>
      </c>
      <c r="P96" s="91">
        <f t="shared" si="49"/>
        <v>1.3</v>
      </c>
      <c r="Q96" s="91">
        <f t="shared" si="49"/>
        <v>1.4</v>
      </c>
      <c r="R96" s="91">
        <f t="shared" si="49"/>
        <v>1.5</v>
      </c>
      <c r="S96" s="91">
        <f t="shared" si="49"/>
        <v>1.6</v>
      </c>
      <c r="T96" s="91">
        <f t="shared" si="49"/>
        <v>1.7</v>
      </c>
      <c r="U96" s="91">
        <f t="shared" si="49"/>
        <v>1.8</v>
      </c>
      <c r="V96" s="91">
        <f t="shared" si="49"/>
        <v>1.9</v>
      </c>
      <c r="W96" s="91">
        <f t="shared" si="49"/>
        <v>2</v>
      </c>
      <c r="X96" s="91">
        <f t="shared" si="49"/>
        <v>2.1</v>
      </c>
      <c r="Y96" s="91">
        <f t="shared" si="49"/>
        <v>2.2000000000000002</v>
      </c>
      <c r="Z96" s="91">
        <f t="shared" si="49"/>
        <v>2.2999999999999998</v>
      </c>
      <c r="AA96" s="91">
        <f t="shared" si="49"/>
        <v>2.4</v>
      </c>
      <c r="AB96" s="91">
        <f t="shared" si="49"/>
        <v>2.5</v>
      </c>
      <c r="AC96" s="91">
        <f t="shared" si="49"/>
        <v>2.6</v>
      </c>
      <c r="AD96" s="91">
        <f t="shared" si="49"/>
        <v>2.7</v>
      </c>
      <c r="AE96" s="91">
        <f t="shared" si="49"/>
        <v>2.8</v>
      </c>
      <c r="AF96" s="91">
        <f t="shared" si="49"/>
        <v>2.9</v>
      </c>
      <c r="AG96" s="91">
        <f t="shared" si="49"/>
        <v>3</v>
      </c>
      <c r="AH96" s="91">
        <f t="shared" si="49"/>
        <v>3.1</v>
      </c>
      <c r="AI96" s="91">
        <f t="shared" si="49"/>
        <v>3.2</v>
      </c>
      <c r="AJ96" s="91">
        <f t="shared" ref="AJ96:BA96" si="50">IF(AJ92,NA(),AJ9)</f>
        <v>3.3</v>
      </c>
      <c r="AK96" s="91">
        <f t="shared" si="50"/>
        <v>3.4</v>
      </c>
      <c r="AL96" s="91">
        <f t="shared" si="50"/>
        <v>3.5</v>
      </c>
      <c r="AM96" s="91">
        <f t="shared" si="50"/>
        <v>3.6</v>
      </c>
      <c r="AN96" s="91">
        <f t="shared" si="50"/>
        <v>3.7</v>
      </c>
      <c r="AO96" s="91">
        <f t="shared" si="50"/>
        <v>3.8</v>
      </c>
      <c r="AP96" s="91">
        <f t="shared" si="50"/>
        <v>3.9</v>
      </c>
      <c r="AQ96" s="91">
        <f t="shared" si="50"/>
        <v>4</v>
      </c>
      <c r="AR96" s="91" t="e">
        <f t="shared" si="50"/>
        <v>#N/A</v>
      </c>
      <c r="AS96" s="91" t="e">
        <f t="shared" si="50"/>
        <v>#N/A</v>
      </c>
      <c r="AT96" s="91" t="e">
        <f t="shared" si="50"/>
        <v>#N/A</v>
      </c>
      <c r="AU96" s="91" t="e">
        <f t="shared" si="50"/>
        <v>#N/A</v>
      </c>
      <c r="AV96" s="91">
        <f t="shared" si="50"/>
        <v>4.5</v>
      </c>
      <c r="AW96" s="91" t="e">
        <f t="shared" si="50"/>
        <v>#N/A</v>
      </c>
      <c r="AX96" s="91" t="e">
        <f t="shared" si="50"/>
        <v>#N/A</v>
      </c>
      <c r="AY96" s="91" t="e">
        <f t="shared" si="50"/>
        <v>#N/A</v>
      </c>
      <c r="AZ96" s="91" t="e">
        <f t="shared" si="50"/>
        <v>#N/A</v>
      </c>
      <c r="BA96" s="91" t="e">
        <f t="shared" si="50"/>
        <v>#N/A</v>
      </c>
    </row>
    <row r="97" spans="1:61" s="27" customFormat="1" x14ac:dyDescent="0.2">
      <c r="A97" s="17"/>
      <c r="B97" s="17"/>
      <c r="C97" s="17"/>
      <c r="D97" s="91">
        <f t="shared" ref="D97:AI97" si="51">IF(D92,NA(),D57)</f>
        <v>0.55174264455275102</v>
      </c>
      <c r="E97" s="91">
        <f t="shared" si="51"/>
        <v>0.46423946139365113</v>
      </c>
      <c r="F97" s="91">
        <f t="shared" si="51"/>
        <v>0.42752723457632719</v>
      </c>
      <c r="G97" s="91">
        <f t="shared" si="51"/>
        <v>0.37879177271858622</v>
      </c>
      <c r="H97" s="91">
        <f t="shared" si="51"/>
        <v>0.35991619698977256</v>
      </c>
      <c r="I97" s="91">
        <f t="shared" si="51"/>
        <v>0.32930832710575114</v>
      </c>
      <c r="J97" s="91">
        <f t="shared" si="51"/>
        <v>0.31469033747041969</v>
      </c>
      <c r="K97" s="91">
        <f t="shared" si="51"/>
        <v>0.30152156793964946</v>
      </c>
      <c r="L97" s="91">
        <f t="shared" si="51"/>
        <v>0.28984277363190286</v>
      </c>
      <c r="M97" s="91">
        <f t="shared" si="51"/>
        <v>0.27889104691871586</v>
      </c>
      <c r="N97" s="91">
        <f t="shared" si="51"/>
        <v>0.27687838908909956</v>
      </c>
      <c r="O97" s="91">
        <f t="shared" si="51"/>
        <v>0.27447309839861189</v>
      </c>
      <c r="P97" s="91">
        <f t="shared" si="51"/>
        <v>0.2727441666852603</v>
      </c>
      <c r="Q97" s="91">
        <f t="shared" si="51"/>
        <v>0.27083600700816457</v>
      </c>
      <c r="R97" s="91">
        <f t="shared" si="51"/>
        <v>0.2687590587412963</v>
      </c>
      <c r="S97" s="91">
        <f t="shared" si="51"/>
        <v>0.26652513413176976</v>
      </c>
      <c r="T97" s="91">
        <f t="shared" si="51"/>
        <v>0.26414688330943931</v>
      </c>
      <c r="U97" s="91">
        <f t="shared" si="51"/>
        <v>0.26163742717360039</v>
      </c>
      <c r="V97" s="91">
        <f t="shared" si="51"/>
        <v>0.25901010975853206</v>
      </c>
      <c r="W97" s="91">
        <f t="shared" si="51"/>
        <v>0.25627833573407532</v>
      </c>
      <c r="X97" s="91">
        <f t="shared" si="51"/>
        <v>0.25777677933573306</v>
      </c>
      <c r="Y97" s="91">
        <f t="shared" si="51"/>
        <v>0.25877966265031682</v>
      </c>
      <c r="Z97" s="91">
        <f t="shared" si="51"/>
        <v>0.26335019895794448</v>
      </c>
      <c r="AA97" s="91">
        <f t="shared" si="51"/>
        <v>0.27243403357608781</v>
      </c>
      <c r="AB97" s="91">
        <f t="shared" si="51"/>
        <v>0.28248600842105498</v>
      </c>
      <c r="AC97" s="91">
        <f t="shared" si="51"/>
        <v>0.28754414011875029</v>
      </c>
      <c r="AD97" s="91">
        <f t="shared" si="51"/>
        <v>0.29877607636660186</v>
      </c>
      <c r="AE97" s="91">
        <f t="shared" si="51"/>
        <v>0.30496439782146539</v>
      </c>
      <c r="AF97" s="91">
        <f t="shared" si="51"/>
        <v>0.31438942790789226</v>
      </c>
      <c r="AG97" s="91">
        <f t="shared" si="51"/>
        <v>0.32891972776271011</v>
      </c>
      <c r="AH97" s="91">
        <f t="shared" si="51"/>
        <v>0.33689105385420798</v>
      </c>
      <c r="AI97" s="91">
        <f t="shared" si="51"/>
        <v>0.35127661955641404</v>
      </c>
      <c r="AJ97" s="91">
        <f t="shared" ref="AJ97:BA97" si="52">IF(AJ92,NA(),AJ57)</f>
        <v>0.37588523141342817</v>
      </c>
      <c r="AK97" s="91">
        <f t="shared" si="52"/>
        <v>0.3993596907837656</v>
      </c>
      <c r="AL97" s="91">
        <f t="shared" si="52"/>
        <v>0.42165101174333225</v>
      </c>
      <c r="AM97" s="91">
        <f t="shared" si="52"/>
        <v>0.45651020471492676</v>
      </c>
      <c r="AN97" s="91">
        <f t="shared" si="52"/>
        <v>0.49403902923325327</v>
      </c>
      <c r="AO97" s="91">
        <f t="shared" si="52"/>
        <v>0.51547275201504117</v>
      </c>
      <c r="AP97" s="91">
        <f t="shared" si="52"/>
        <v>0.53926725199797432</v>
      </c>
      <c r="AQ97" s="91">
        <f t="shared" si="52"/>
        <v>0.56442950793810176</v>
      </c>
      <c r="AR97" s="91" t="e">
        <f t="shared" si="52"/>
        <v>#N/A</v>
      </c>
      <c r="AS97" s="91" t="e">
        <f t="shared" si="52"/>
        <v>#N/A</v>
      </c>
      <c r="AT97" s="91" t="e">
        <f t="shared" si="52"/>
        <v>#N/A</v>
      </c>
      <c r="AU97" s="91" t="e">
        <f t="shared" si="52"/>
        <v>#N/A</v>
      </c>
      <c r="AV97" s="91">
        <f t="shared" si="52"/>
        <v>0.98570406194973281</v>
      </c>
      <c r="AW97" s="91" t="e">
        <f t="shared" si="52"/>
        <v>#N/A</v>
      </c>
      <c r="AX97" s="91" t="e">
        <f t="shared" si="52"/>
        <v>#N/A</v>
      </c>
      <c r="AY97" s="91" t="e">
        <f t="shared" si="52"/>
        <v>#N/A</v>
      </c>
      <c r="AZ97" s="91" t="e">
        <f t="shared" si="52"/>
        <v>#N/A</v>
      </c>
      <c r="BA97" s="91" t="e">
        <f t="shared" si="52"/>
        <v>#N/A</v>
      </c>
    </row>
    <row r="98" spans="1:61" s="1" customFormat="1" x14ac:dyDescent="0.2">
      <c r="A98" s="6"/>
      <c r="B98" s="17"/>
      <c r="C98" s="17"/>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1"/>
      <c r="BA98" s="91"/>
      <c r="BB98" s="27"/>
      <c r="BC98" s="27"/>
      <c r="BD98" s="27"/>
      <c r="BE98" s="27"/>
      <c r="BF98" s="27"/>
      <c r="BG98" s="27"/>
      <c r="BH98" s="27"/>
      <c r="BI98" s="27"/>
    </row>
    <row r="99" spans="1:61" s="1" customFormat="1" x14ac:dyDescent="0.2">
      <c r="A99" s="6"/>
      <c r="B99" s="17"/>
      <c r="C99" s="17"/>
      <c r="D99" s="91">
        <f t="shared" ref="D99:AI99" si="53">IF(D92,NA(),D60)</f>
        <v>-1.2209356808741481E-3</v>
      </c>
      <c r="E99" s="91">
        <f t="shared" si="53"/>
        <v>1.3516106319925655E-3</v>
      </c>
      <c r="F99" s="91">
        <f t="shared" si="53"/>
        <v>2.4309302673058749E-3</v>
      </c>
      <c r="G99" s="91">
        <f t="shared" si="53"/>
        <v>3.8637265174723406E-3</v>
      </c>
      <c r="H99" s="91">
        <f t="shared" si="53"/>
        <v>4.4186582467113378E-3</v>
      </c>
      <c r="I99" s="91">
        <f t="shared" si="53"/>
        <v>5.3185130859538885E-3</v>
      </c>
      <c r="J99" s="91">
        <f t="shared" si="53"/>
        <v>5.7482740841283304E-3</v>
      </c>
      <c r="K99" s="91">
        <f t="shared" si="53"/>
        <v>6.1354287941436016E-3</v>
      </c>
      <c r="L99" s="91">
        <f t="shared" si="53"/>
        <v>6.4787790375341221E-3</v>
      </c>
      <c r="M99" s="91">
        <f t="shared" si="53"/>
        <v>6.8007538864297001E-3</v>
      </c>
      <c r="N99" s="91">
        <f t="shared" si="53"/>
        <v>6.8599249393184562E-3</v>
      </c>
      <c r="O99" s="91">
        <f t="shared" si="53"/>
        <v>6.9306391862040372E-3</v>
      </c>
      <c r="P99" s="91">
        <f t="shared" si="53"/>
        <v>6.9814688445525106E-3</v>
      </c>
      <c r="Q99" s="91">
        <f t="shared" si="53"/>
        <v>7.0375677082103981E-3</v>
      </c>
      <c r="R99" s="91">
        <f t="shared" si="53"/>
        <v>7.0986288652226184E-3</v>
      </c>
      <c r="S99" s="91">
        <f t="shared" si="53"/>
        <v>7.1643050419053639E-3</v>
      </c>
      <c r="T99" s="91">
        <f t="shared" si="53"/>
        <v>7.2342243312749216E-3</v>
      </c>
      <c r="U99" s="91">
        <f t="shared" si="53"/>
        <v>7.3080009859803315E-3</v>
      </c>
      <c r="V99" s="91">
        <f t="shared" si="53"/>
        <v>7.3852426986226634E-3</v>
      </c>
      <c r="W99" s="91">
        <f t="shared" si="53"/>
        <v>7.4655553791502204E-3</v>
      </c>
      <c r="X99" s="91">
        <f t="shared" si="53"/>
        <v>7.4215019467685165E-3</v>
      </c>
      <c r="Y99" s="91">
        <f t="shared" si="53"/>
        <v>7.392017719109311E-3</v>
      </c>
      <c r="Z99" s="91">
        <f t="shared" si="53"/>
        <v>7.2576464208145694E-3</v>
      </c>
      <c r="AA99" s="91">
        <f t="shared" si="53"/>
        <v>6.9905865904183826E-3</v>
      </c>
      <c r="AB99" s="91">
        <f t="shared" si="53"/>
        <v>6.6950639603738094E-3</v>
      </c>
      <c r="AC99" s="91">
        <f t="shared" si="53"/>
        <v>6.5463576210256589E-3</v>
      </c>
      <c r="AD99" s="91">
        <f t="shared" si="53"/>
        <v>6.2161447631890743E-3</v>
      </c>
      <c r="AE99" s="91">
        <f t="shared" si="53"/>
        <v>6.0342114555447385E-3</v>
      </c>
      <c r="AF99" s="91">
        <f t="shared" si="53"/>
        <v>5.7571206627056917E-3</v>
      </c>
      <c r="AG99" s="91">
        <f t="shared" si="53"/>
        <v>5.3299376967055351E-3</v>
      </c>
      <c r="AH99" s="91">
        <f t="shared" si="53"/>
        <v>5.0955850159801301E-3</v>
      </c>
      <c r="AI99" s="91">
        <f t="shared" si="53"/>
        <v>4.6726571558767544E-3</v>
      </c>
      <c r="AJ99" s="91">
        <f t="shared" ref="AJ99:BA99" si="54">IF(AJ92,NA(),AJ60)</f>
        <v>3.9491772616376576E-3</v>
      </c>
      <c r="AK99" s="91">
        <f t="shared" si="54"/>
        <v>3.2590408378015065E-3</v>
      </c>
      <c r="AL99" s="91">
        <f t="shared" si="54"/>
        <v>2.6036880440729049E-3</v>
      </c>
      <c r="AM99" s="91">
        <f t="shared" si="54"/>
        <v>1.5788466027560483E-3</v>
      </c>
      <c r="AN99" s="91">
        <f t="shared" si="54"/>
        <v>4.75519436185394E-4</v>
      </c>
      <c r="AO99" s="91">
        <f t="shared" si="54"/>
        <v>-1.5462043441840517E-4</v>
      </c>
      <c r="AP99" s="91">
        <f t="shared" si="54"/>
        <v>-8.5416587936872415E-4</v>
      </c>
      <c r="AQ99" s="91">
        <f t="shared" si="54"/>
        <v>-1.5939226105551561E-3</v>
      </c>
      <c r="AR99" s="91" t="e">
        <f t="shared" si="54"/>
        <v>#N/A</v>
      </c>
      <c r="AS99" s="91" t="e">
        <f t="shared" si="54"/>
        <v>#N/A</v>
      </c>
      <c r="AT99" s="91" t="e">
        <f t="shared" si="54"/>
        <v>#N/A</v>
      </c>
      <c r="AU99" s="91" t="e">
        <f t="shared" si="54"/>
        <v>#N/A</v>
      </c>
      <c r="AV99" s="91">
        <f t="shared" si="54"/>
        <v>-1.3979166912544711E-2</v>
      </c>
      <c r="AW99" s="91" t="e">
        <f t="shared" si="54"/>
        <v>#N/A</v>
      </c>
      <c r="AX99" s="91" t="e">
        <f t="shared" si="54"/>
        <v>#N/A</v>
      </c>
      <c r="AY99" s="91" t="e">
        <f t="shared" si="54"/>
        <v>#N/A</v>
      </c>
      <c r="AZ99" s="91" t="e">
        <f t="shared" si="54"/>
        <v>#N/A</v>
      </c>
      <c r="BA99" s="91" t="e">
        <f t="shared" si="54"/>
        <v>#N/A</v>
      </c>
      <c r="BB99" s="27"/>
      <c r="BC99" s="27"/>
      <c r="BD99" s="27"/>
      <c r="BE99" s="27"/>
      <c r="BF99" s="27"/>
      <c r="BG99" s="27"/>
      <c r="BH99" s="27"/>
      <c r="BI99" s="27"/>
    </row>
    <row r="100" spans="1:61" s="1" customFormat="1" x14ac:dyDescent="0.2">
      <c r="A100" s="6"/>
      <c r="B100" s="17"/>
      <c r="C100" s="17"/>
      <c r="D100" s="91">
        <f t="shared" ref="D100:AI100" si="55">IF(D92,NA(),D61)</f>
        <v>3.1220935680874147E-2</v>
      </c>
      <c r="E100" s="91">
        <f t="shared" si="55"/>
        <v>2.8648389368007433E-2</v>
      </c>
      <c r="F100" s="91">
        <f t="shared" si="55"/>
        <v>2.7569069732694122E-2</v>
      </c>
      <c r="G100" s="91">
        <f t="shared" si="55"/>
        <v>2.6136273482527658E-2</v>
      </c>
      <c r="H100" s="91">
        <f t="shared" si="55"/>
        <v>2.5581341753288661E-2</v>
      </c>
      <c r="I100" s="91">
        <f t="shared" si="55"/>
        <v>2.4681486914046112E-2</v>
      </c>
      <c r="J100" s="91">
        <f t="shared" si="55"/>
        <v>2.4251725915871668E-2</v>
      </c>
      <c r="K100" s="91">
        <f t="shared" si="55"/>
        <v>2.3864571205856396E-2</v>
      </c>
      <c r="L100" s="91">
        <f t="shared" si="55"/>
        <v>2.3521220962465877E-2</v>
      </c>
      <c r="M100" s="91">
        <f t="shared" si="55"/>
        <v>2.3199246113570299E-2</v>
      </c>
      <c r="N100" s="91">
        <f t="shared" si="55"/>
        <v>2.3140075060681543E-2</v>
      </c>
      <c r="O100" s="91">
        <f t="shared" si="55"/>
        <v>2.3069360813795962E-2</v>
      </c>
      <c r="P100" s="91">
        <f t="shared" si="55"/>
        <v>2.301853115544749E-2</v>
      </c>
      <c r="Q100" s="91">
        <f t="shared" si="55"/>
        <v>2.2962432291789601E-2</v>
      </c>
      <c r="R100" s="91">
        <f t="shared" si="55"/>
        <v>2.290137113477738E-2</v>
      </c>
      <c r="S100" s="91">
        <f t="shared" si="55"/>
        <v>2.2835694958094635E-2</v>
      </c>
      <c r="T100" s="91">
        <f t="shared" si="55"/>
        <v>2.2765775668725077E-2</v>
      </c>
      <c r="U100" s="91">
        <f t="shared" si="55"/>
        <v>2.2691999014019668E-2</v>
      </c>
      <c r="V100" s="91">
        <f t="shared" si="55"/>
        <v>2.2614757301377336E-2</v>
      </c>
      <c r="W100" s="91">
        <f t="shared" si="55"/>
        <v>2.2534444620849779E-2</v>
      </c>
      <c r="X100" s="91">
        <f t="shared" si="55"/>
        <v>2.2578498053231484E-2</v>
      </c>
      <c r="Y100" s="91">
        <f t="shared" si="55"/>
        <v>2.2607982280890688E-2</v>
      </c>
      <c r="Z100" s="91">
        <f t="shared" si="55"/>
        <v>2.2742353579185429E-2</v>
      </c>
      <c r="AA100" s="91">
        <f t="shared" si="55"/>
        <v>2.3009413409581618E-2</v>
      </c>
      <c r="AB100" s="91">
        <f t="shared" si="55"/>
        <v>2.330493603962619E-2</v>
      </c>
      <c r="AC100" s="91">
        <f t="shared" si="55"/>
        <v>2.3453642378974342E-2</v>
      </c>
      <c r="AD100" s="91">
        <f t="shared" si="55"/>
        <v>2.3783855236810925E-2</v>
      </c>
      <c r="AE100" s="91">
        <f t="shared" si="55"/>
        <v>2.396578854445526E-2</v>
      </c>
      <c r="AF100" s="91">
        <f t="shared" si="55"/>
        <v>2.4242879337294305E-2</v>
      </c>
      <c r="AG100" s="91">
        <f t="shared" si="55"/>
        <v>2.4670062303294465E-2</v>
      </c>
      <c r="AH100" s="91">
        <f t="shared" si="55"/>
        <v>2.4904414984019869E-2</v>
      </c>
      <c r="AI100" s="91">
        <f t="shared" si="55"/>
        <v>2.5327342844123246E-2</v>
      </c>
      <c r="AJ100" s="91">
        <f t="shared" ref="AJ100:BA100" si="56">IF(AJ92,NA(),AJ61)</f>
        <v>2.6050822738362341E-2</v>
      </c>
      <c r="AK100" s="91">
        <f t="shared" si="56"/>
        <v>2.6740959162198492E-2</v>
      </c>
      <c r="AL100" s="91">
        <f t="shared" si="56"/>
        <v>2.7396311955927094E-2</v>
      </c>
      <c r="AM100" s="91">
        <f t="shared" si="56"/>
        <v>2.8421153397243951E-2</v>
      </c>
      <c r="AN100" s="91">
        <f t="shared" si="56"/>
        <v>2.9524480563814605E-2</v>
      </c>
      <c r="AO100" s="91">
        <f t="shared" si="56"/>
        <v>3.0154620434418404E-2</v>
      </c>
      <c r="AP100" s="91">
        <f t="shared" si="56"/>
        <v>3.0854165879368723E-2</v>
      </c>
      <c r="AQ100" s="91">
        <f t="shared" si="56"/>
        <v>3.1593922610555158E-2</v>
      </c>
      <c r="AR100" s="91" t="e">
        <f t="shared" si="56"/>
        <v>#N/A</v>
      </c>
      <c r="AS100" s="91" t="e">
        <f t="shared" si="56"/>
        <v>#N/A</v>
      </c>
      <c r="AT100" s="91" t="e">
        <f t="shared" si="56"/>
        <v>#N/A</v>
      </c>
      <c r="AU100" s="91" t="e">
        <f t="shared" si="56"/>
        <v>#N/A</v>
      </c>
      <c r="AV100" s="91">
        <f t="shared" si="56"/>
        <v>4.3979166912544707E-2</v>
      </c>
      <c r="AW100" s="91" t="e">
        <f t="shared" si="56"/>
        <v>#N/A</v>
      </c>
      <c r="AX100" s="91" t="e">
        <f t="shared" si="56"/>
        <v>#N/A</v>
      </c>
      <c r="AY100" s="91" t="e">
        <f t="shared" si="56"/>
        <v>#N/A</v>
      </c>
      <c r="AZ100" s="91" t="e">
        <f t="shared" si="56"/>
        <v>#N/A</v>
      </c>
      <c r="BA100" s="91" t="e">
        <f t="shared" si="56"/>
        <v>#N/A</v>
      </c>
      <c r="BB100" s="27"/>
      <c r="BC100" s="27"/>
      <c r="BD100" s="27"/>
      <c r="BE100" s="27"/>
      <c r="BF100" s="27"/>
      <c r="BG100" s="27"/>
      <c r="BH100" s="27"/>
      <c r="BI100" s="27"/>
    </row>
    <row r="101" spans="1:61" s="1" customFormat="1" x14ac:dyDescent="0.2">
      <c r="A101" s="6"/>
      <c r="B101" s="17"/>
      <c r="C101" s="17"/>
      <c r="D101" s="91"/>
      <c r="E101" s="91"/>
      <c r="F101" s="91"/>
      <c r="G101" s="91"/>
      <c r="H101" s="91"/>
      <c r="I101" s="91"/>
      <c r="J101" s="113"/>
      <c r="K101" s="113"/>
      <c r="L101" s="113"/>
      <c r="M101" s="113"/>
      <c r="N101" s="113"/>
      <c r="O101" s="113"/>
      <c r="P101" s="91"/>
      <c r="Q101" s="91"/>
      <c r="R101" s="91"/>
      <c r="S101" s="91"/>
      <c r="T101" s="91"/>
      <c r="U101" s="91"/>
      <c r="V101" s="91"/>
      <c r="W101" s="91"/>
      <c r="X101" s="91"/>
      <c r="Y101" s="91"/>
      <c r="Z101" s="91"/>
      <c r="AA101" s="91"/>
      <c r="AB101" s="91"/>
      <c r="AC101" s="91"/>
      <c r="AD101" s="91"/>
      <c r="AE101" s="91"/>
      <c r="AF101" s="91"/>
      <c r="AG101" s="91"/>
      <c r="AH101" s="91"/>
      <c r="AI101" s="91"/>
      <c r="AJ101" s="91"/>
      <c r="AK101" s="91"/>
      <c r="AL101" s="91"/>
      <c r="AM101" s="91"/>
      <c r="AN101" s="91"/>
      <c r="AO101" s="91"/>
      <c r="AP101" s="91"/>
      <c r="AQ101" s="91"/>
      <c r="AR101" s="91"/>
      <c r="AS101" s="91"/>
      <c r="AT101" s="91"/>
      <c r="AU101" s="91"/>
      <c r="AV101" s="91"/>
      <c r="AW101" s="91"/>
      <c r="AX101" s="91"/>
      <c r="AY101" s="91"/>
      <c r="AZ101" s="91"/>
      <c r="BA101" s="91"/>
      <c r="BB101" s="27"/>
      <c r="BC101" s="27"/>
      <c r="BD101" s="27"/>
      <c r="BE101" s="27"/>
      <c r="BF101" s="27"/>
      <c r="BG101" s="27"/>
      <c r="BH101" s="27"/>
      <c r="BI101" s="27"/>
    </row>
    <row r="102" spans="1:61" s="1" customFormat="1" x14ac:dyDescent="0.2">
      <c r="A102" s="6"/>
      <c r="B102" s="17"/>
      <c r="C102" s="17"/>
      <c r="D102" s="17"/>
      <c r="E102" s="17"/>
      <c r="F102" s="17"/>
      <c r="G102" s="17"/>
      <c r="H102" s="17"/>
      <c r="I102" s="17"/>
      <c r="J102" s="27"/>
      <c r="K102" s="27"/>
      <c r="L102" s="27"/>
      <c r="M102" s="27"/>
      <c r="N102" s="27"/>
      <c r="O102" s="2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27"/>
      <c r="BC102" s="27"/>
      <c r="BD102" s="27"/>
      <c r="BE102" s="27"/>
      <c r="BF102" s="27"/>
      <c r="BG102" s="27"/>
      <c r="BH102" s="27"/>
      <c r="BI102" s="27"/>
    </row>
    <row r="103" spans="1:61" s="1" customFormat="1" x14ac:dyDescent="0.2">
      <c r="A103" s="6"/>
      <c r="B103" s="17"/>
      <c r="C103" s="17"/>
      <c r="D103" s="17">
        <v>0</v>
      </c>
      <c r="E103" s="112">
        <f>D35</f>
        <v>1.4999999999999999E-2</v>
      </c>
      <c r="F103" s="17"/>
      <c r="G103" s="17"/>
      <c r="H103" s="17"/>
      <c r="I103" s="17"/>
      <c r="J103" s="27"/>
      <c r="K103" s="27"/>
      <c r="L103" s="27"/>
      <c r="M103" s="27"/>
      <c r="N103" s="27"/>
      <c r="O103" s="2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27"/>
      <c r="BC103" s="27"/>
      <c r="BD103" s="27"/>
      <c r="BE103" s="27"/>
      <c r="BF103" s="27"/>
      <c r="BG103" s="27"/>
      <c r="BH103" s="27"/>
      <c r="BI103" s="27"/>
    </row>
    <row r="104" spans="1:61" s="1" customFormat="1" x14ac:dyDescent="0.2">
      <c r="A104" s="6"/>
      <c r="B104" s="17"/>
      <c r="C104" s="17"/>
      <c r="D104" s="17">
        <v>5</v>
      </c>
      <c r="E104" s="112">
        <f>E103</f>
        <v>1.4999999999999999E-2</v>
      </c>
      <c r="F104" s="17"/>
      <c r="G104" s="17"/>
      <c r="H104" s="17"/>
      <c r="I104" s="17"/>
      <c r="J104" s="27"/>
      <c r="K104" s="27"/>
      <c r="L104" s="27"/>
      <c r="M104" s="27"/>
      <c r="N104" s="27"/>
      <c r="O104" s="2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27"/>
      <c r="BC104" s="27"/>
      <c r="BD104" s="27"/>
      <c r="BE104" s="27"/>
    </row>
    <row r="105" spans="1:61" s="1" customFormat="1" x14ac:dyDescent="0.2">
      <c r="A105" s="6"/>
      <c r="B105" s="17"/>
      <c r="C105" s="17"/>
      <c r="D105" s="17"/>
      <c r="E105" s="17"/>
      <c r="F105" s="17"/>
      <c r="G105" s="17"/>
      <c r="H105" s="17"/>
      <c r="I105" s="17"/>
      <c r="J105" s="27"/>
      <c r="K105" s="27"/>
      <c r="L105" s="27"/>
      <c r="M105" s="27"/>
      <c r="N105" s="27"/>
      <c r="O105" s="2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27"/>
      <c r="BC105" s="27"/>
      <c r="BD105" s="27"/>
      <c r="BE105" s="27"/>
    </row>
    <row r="106" spans="1:61" s="1" customFormat="1" x14ac:dyDescent="0.2">
      <c r="A106" s="6"/>
      <c r="B106" s="17"/>
      <c r="C106" s="17"/>
      <c r="D106" s="17"/>
      <c r="E106" s="17"/>
      <c r="F106" s="17"/>
      <c r="G106" s="17"/>
      <c r="H106" s="17"/>
      <c r="I106" s="17"/>
      <c r="J106" s="27"/>
      <c r="K106" s="27"/>
      <c r="L106" s="27"/>
      <c r="M106" s="27"/>
      <c r="N106" s="27"/>
      <c r="O106" s="2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27"/>
      <c r="BC106" s="27"/>
      <c r="BD106" s="27"/>
      <c r="BE106" s="27"/>
    </row>
    <row r="107" spans="1:61" s="1" customFormat="1" x14ac:dyDescent="0.2">
      <c r="A107" s="6"/>
      <c r="B107" s="17"/>
      <c r="C107" s="17"/>
      <c r="D107" s="17"/>
      <c r="E107" s="17"/>
      <c r="F107" s="17"/>
      <c r="G107" s="17"/>
      <c r="H107" s="17"/>
      <c r="I107" s="17"/>
      <c r="J107" s="27"/>
      <c r="K107" s="27"/>
      <c r="L107" s="27"/>
      <c r="M107" s="27"/>
      <c r="N107" s="27"/>
      <c r="O107" s="2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27"/>
      <c r="BC107" s="27"/>
      <c r="BD107" s="27"/>
      <c r="BE107" s="27"/>
    </row>
    <row r="108" spans="1:61" s="1" customFormat="1" x14ac:dyDescent="0.2">
      <c r="A108" s="6"/>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27"/>
      <c r="BC108" s="27"/>
      <c r="BD108" s="27"/>
      <c r="BE108" s="27"/>
    </row>
    <row r="109" spans="1:61" s="1" customFormat="1" x14ac:dyDescent="0.2">
      <c r="A109" s="6"/>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27"/>
      <c r="BC109" s="27"/>
      <c r="BD109" s="27"/>
      <c r="BE109" s="27"/>
    </row>
    <row r="110" spans="1:61" s="1" customFormat="1" x14ac:dyDescent="0.2">
      <c r="A110" s="6"/>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27"/>
      <c r="BC110" s="27"/>
      <c r="BD110" s="27"/>
      <c r="BE110" s="27"/>
    </row>
    <row r="111" spans="1:61" s="1" customForma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5"/>
    </row>
    <row r="112" spans="1:61" s="1" customForma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5"/>
    </row>
    <row r="113" spans="1:53" s="1" customForma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5"/>
    </row>
    <row r="114" spans="1:53" s="1" customForma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5"/>
    </row>
    <row r="115" spans="1:53" s="1" customForma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5"/>
    </row>
    <row r="116" spans="1:53" s="1" customForma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5"/>
    </row>
    <row r="117" spans="1:53" s="1" customFormat="1" x14ac:dyDescent="0.2">
      <c r="A117" s="5"/>
      <c r="B117" s="5"/>
      <c r="C117" s="5"/>
      <c r="D117" s="5"/>
      <c r="E117" s="5"/>
      <c r="F117" s="5"/>
      <c r="G117" s="5"/>
      <c r="H117" s="18"/>
      <c r="I117" s="18"/>
      <c r="J117" s="18"/>
      <c r="K117" s="18"/>
      <c r="L117" s="18"/>
      <c r="M117" s="18"/>
      <c r="N117" s="18"/>
      <c r="O117" s="18"/>
      <c r="P117" s="18"/>
      <c r="Q117" s="18"/>
      <c r="R117" s="18"/>
      <c r="S117" s="18"/>
      <c r="T117" s="18"/>
      <c r="U117" s="18"/>
      <c r="V117" s="18"/>
      <c r="W117" s="18"/>
      <c r="X117" s="18"/>
      <c r="Y117" s="18"/>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spans="1:53" x14ac:dyDescent="0.2">
      <c r="H118" s="18"/>
      <c r="I118" s="18"/>
      <c r="J118" s="18"/>
      <c r="K118" s="18"/>
      <c r="L118" s="18"/>
      <c r="M118" s="18"/>
      <c r="N118" s="18"/>
      <c r="O118" s="18"/>
      <c r="P118" s="18"/>
      <c r="Q118" s="18"/>
      <c r="R118" s="18"/>
      <c r="S118" s="18"/>
      <c r="T118" s="18"/>
      <c r="U118" s="18"/>
      <c r="V118" s="18"/>
      <c r="W118" s="18"/>
      <c r="X118" s="18"/>
      <c r="Y118" s="18"/>
    </row>
    <row r="119" spans="1:53" x14ac:dyDescent="0.2">
      <c r="H119" s="18"/>
      <c r="I119" s="18"/>
      <c r="J119" s="18"/>
      <c r="K119" s="18"/>
      <c r="L119" s="18"/>
      <c r="M119" s="18"/>
      <c r="N119" s="18"/>
      <c r="O119" s="18"/>
      <c r="P119" s="18"/>
      <c r="Q119" s="18"/>
      <c r="R119" s="18"/>
      <c r="S119" s="18"/>
      <c r="T119" s="18"/>
      <c r="U119" s="18"/>
      <c r="V119" s="18"/>
      <c r="W119" s="18"/>
      <c r="X119" s="18"/>
      <c r="Y119" s="18"/>
    </row>
    <row r="120" spans="1:53" x14ac:dyDescent="0.2">
      <c r="H120" s="18"/>
      <c r="I120" s="18"/>
      <c r="J120" s="18"/>
      <c r="K120" s="18"/>
      <c r="L120" s="18"/>
      <c r="M120" s="18"/>
      <c r="N120" s="18"/>
      <c r="O120" s="18"/>
      <c r="P120" s="18"/>
      <c r="Q120" s="18"/>
      <c r="R120" s="18"/>
      <c r="S120" s="18"/>
      <c r="T120" s="18"/>
      <c r="U120" s="18"/>
      <c r="V120" s="18"/>
      <c r="W120" s="18"/>
      <c r="X120" s="18"/>
      <c r="Y120" s="18"/>
    </row>
    <row r="121" spans="1:53" x14ac:dyDescent="0.2">
      <c r="H121" s="18"/>
      <c r="I121" s="18"/>
      <c r="J121" s="18"/>
      <c r="K121" s="18"/>
      <c r="L121" s="18"/>
      <c r="M121" s="18"/>
      <c r="N121" s="18"/>
      <c r="O121" s="18"/>
      <c r="P121" s="18"/>
      <c r="Q121" s="18"/>
      <c r="R121" s="18"/>
      <c r="S121" s="18"/>
      <c r="T121" s="18"/>
      <c r="U121" s="18"/>
      <c r="V121" s="18"/>
      <c r="W121" s="18"/>
      <c r="X121" s="18"/>
      <c r="Y121" s="18"/>
    </row>
    <row r="122" spans="1:53" x14ac:dyDescent="0.2">
      <c r="H122" s="18"/>
      <c r="I122" s="18"/>
      <c r="J122" s="18"/>
      <c r="K122" s="18"/>
      <c r="L122" s="18"/>
      <c r="M122" s="18"/>
      <c r="N122" s="18"/>
      <c r="O122" s="18"/>
      <c r="P122" s="18"/>
      <c r="Q122" s="18"/>
      <c r="R122" s="18"/>
      <c r="S122" s="18"/>
      <c r="T122" s="18"/>
      <c r="U122" s="18"/>
      <c r="V122" s="18"/>
      <c r="W122" s="18"/>
      <c r="X122" s="18"/>
      <c r="Y122" s="18"/>
    </row>
    <row r="123" spans="1:53" x14ac:dyDescent="0.2">
      <c r="H123" s="18"/>
      <c r="I123" s="18"/>
      <c r="J123" s="18"/>
      <c r="K123" s="18"/>
      <c r="L123" s="18"/>
      <c r="M123" s="18"/>
      <c r="N123" s="18"/>
      <c r="O123" s="18"/>
      <c r="P123" s="18"/>
      <c r="Q123" s="18"/>
      <c r="R123" s="18"/>
      <c r="S123" s="18"/>
      <c r="T123" s="18"/>
      <c r="U123" s="18"/>
      <c r="V123" s="18"/>
      <c r="W123" s="18"/>
      <c r="X123" s="18"/>
      <c r="Y123" s="18"/>
    </row>
    <row r="124" spans="1:53" x14ac:dyDescent="0.2">
      <c r="H124" s="18"/>
      <c r="I124" s="18"/>
      <c r="J124" s="18"/>
      <c r="K124" s="18"/>
      <c r="L124" s="18"/>
      <c r="M124" s="18"/>
      <c r="N124" s="18"/>
      <c r="O124" s="18"/>
      <c r="P124" s="18"/>
      <c r="Q124" s="18"/>
      <c r="R124" s="18"/>
      <c r="S124" s="18"/>
      <c r="T124" s="18"/>
      <c r="U124" s="18"/>
      <c r="V124" s="18"/>
      <c r="W124" s="18"/>
      <c r="X124" s="18"/>
      <c r="Y124" s="18"/>
    </row>
    <row r="125" spans="1:53" x14ac:dyDescent="0.2">
      <c r="H125" s="18"/>
      <c r="I125" s="18"/>
      <c r="J125" s="18"/>
      <c r="K125" s="18"/>
      <c r="L125" s="18"/>
      <c r="M125" s="18"/>
      <c r="N125" s="18"/>
      <c r="O125" s="18"/>
      <c r="P125" s="18"/>
      <c r="Q125" s="18"/>
      <c r="R125" s="18"/>
      <c r="S125" s="18"/>
      <c r="T125" s="18"/>
      <c r="U125" s="18"/>
      <c r="V125" s="18"/>
      <c r="W125" s="18"/>
      <c r="X125" s="18"/>
      <c r="Y125" s="18"/>
    </row>
    <row r="126" spans="1:53" x14ac:dyDescent="0.2">
      <c r="H126" s="18"/>
      <c r="I126" s="18"/>
      <c r="J126" s="18"/>
      <c r="K126" s="18"/>
      <c r="L126" s="18"/>
      <c r="M126" s="18"/>
      <c r="N126" s="18"/>
      <c r="O126" s="18"/>
      <c r="P126" s="18"/>
      <c r="Q126" s="18"/>
      <c r="R126" s="18"/>
      <c r="S126" s="18"/>
      <c r="T126" s="18"/>
      <c r="U126" s="18"/>
      <c r="V126" s="18"/>
      <c r="W126" s="18"/>
      <c r="X126" s="18"/>
      <c r="Y126" s="18"/>
    </row>
    <row r="127" spans="1:53" x14ac:dyDescent="0.2">
      <c r="H127" s="18"/>
      <c r="I127" s="18"/>
      <c r="J127" s="18"/>
      <c r="K127" s="18"/>
      <c r="L127" s="18"/>
      <c r="M127" s="18"/>
      <c r="N127" s="18"/>
      <c r="O127" s="18"/>
      <c r="P127" s="18"/>
      <c r="Q127" s="18"/>
      <c r="R127" s="18"/>
      <c r="S127" s="18"/>
      <c r="T127" s="18"/>
      <c r="U127" s="18"/>
      <c r="V127" s="18"/>
      <c r="W127" s="18"/>
      <c r="X127" s="18"/>
      <c r="Y127" s="18"/>
    </row>
    <row r="128" spans="1:53" x14ac:dyDescent="0.2">
      <c r="H128" s="18"/>
      <c r="I128" s="18"/>
      <c r="J128" s="18"/>
      <c r="K128" s="18"/>
      <c r="L128" s="18"/>
      <c r="M128" s="18"/>
      <c r="N128" s="18"/>
      <c r="O128" s="18"/>
      <c r="P128" s="18"/>
      <c r="Q128" s="18"/>
      <c r="R128" s="18"/>
      <c r="S128" s="18"/>
      <c r="T128" s="18"/>
      <c r="U128" s="18"/>
      <c r="V128" s="18"/>
      <c r="W128" s="18"/>
      <c r="X128" s="18"/>
      <c r="Y128" s="18"/>
    </row>
    <row r="129" spans="8:25" x14ac:dyDescent="0.2">
      <c r="H129" s="18"/>
      <c r="I129" s="18"/>
      <c r="J129" s="18"/>
      <c r="K129" s="18"/>
      <c r="L129" s="18"/>
      <c r="M129" s="18"/>
      <c r="N129" s="18"/>
      <c r="O129" s="18"/>
      <c r="P129" s="18"/>
      <c r="Q129" s="18"/>
      <c r="R129" s="18"/>
      <c r="S129" s="18"/>
      <c r="T129" s="18"/>
      <c r="U129" s="18"/>
      <c r="V129" s="18"/>
      <c r="W129" s="18"/>
      <c r="X129" s="18"/>
      <c r="Y129" s="18"/>
    </row>
    <row r="130" spans="8:25" x14ac:dyDescent="0.2">
      <c r="H130" s="18"/>
      <c r="I130" s="18"/>
      <c r="J130" s="18"/>
      <c r="K130" s="18"/>
      <c r="L130" s="18"/>
      <c r="M130" s="18"/>
      <c r="N130" s="18"/>
      <c r="O130" s="18"/>
      <c r="P130" s="18"/>
      <c r="Q130" s="18"/>
      <c r="R130" s="18"/>
      <c r="S130" s="18"/>
      <c r="T130" s="18"/>
      <c r="U130" s="18"/>
      <c r="V130" s="18"/>
      <c r="W130" s="18"/>
      <c r="X130" s="18"/>
      <c r="Y130" s="18"/>
    </row>
    <row r="131" spans="8:25" x14ac:dyDescent="0.2">
      <c r="H131" s="18"/>
      <c r="I131" s="18"/>
      <c r="J131" s="18"/>
      <c r="K131" s="18"/>
      <c r="L131" s="18"/>
      <c r="M131" s="18"/>
      <c r="N131" s="18"/>
      <c r="O131" s="18"/>
      <c r="P131" s="18"/>
      <c r="Q131" s="18"/>
      <c r="R131" s="18"/>
      <c r="S131" s="18"/>
      <c r="T131" s="18"/>
      <c r="U131" s="18"/>
      <c r="V131" s="18"/>
      <c r="W131" s="18"/>
      <c r="X131" s="18"/>
      <c r="Y131" s="18"/>
    </row>
    <row r="132" spans="8:25" x14ac:dyDescent="0.2">
      <c r="H132" s="18"/>
      <c r="I132" s="18"/>
      <c r="J132" s="18"/>
      <c r="K132" s="18"/>
      <c r="L132" s="18"/>
      <c r="M132" s="18"/>
      <c r="N132" s="18"/>
      <c r="O132" s="18"/>
      <c r="P132" s="18"/>
      <c r="Q132" s="18"/>
      <c r="R132" s="18"/>
      <c r="S132" s="18"/>
      <c r="T132" s="18"/>
      <c r="U132" s="18"/>
      <c r="V132" s="18"/>
      <c r="W132" s="18"/>
      <c r="X132" s="18"/>
      <c r="Y132" s="18"/>
    </row>
    <row r="133" spans="8:25" x14ac:dyDescent="0.2">
      <c r="H133" s="18"/>
      <c r="I133" s="18"/>
      <c r="J133" s="18"/>
      <c r="K133" s="18"/>
      <c r="L133" s="18"/>
      <c r="M133" s="18"/>
      <c r="N133" s="18"/>
      <c r="O133" s="18"/>
      <c r="P133" s="18"/>
      <c r="Q133" s="18"/>
      <c r="R133" s="18"/>
      <c r="S133" s="18"/>
      <c r="T133" s="18"/>
      <c r="U133" s="18"/>
      <c r="V133" s="18"/>
      <c r="W133" s="18"/>
      <c r="X133" s="18"/>
      <c r="Y133" s="18"/>
    </row>
    <row r="134" spans="8:25" x14ac:dyDescent="0.2">
      <c r="H134" s="18"/>
      <c r="I134" s="18"/>
      <c r="J134" s="18"/>
      <c r="K134" s="18"/>
      <c r="L134" s="18"/>
      <c r="M134" s="18"/>
      <c r="N134" s="18"/>
      <c r="O134" s="18"/>
      <c r="P134" s="18"/>
      <c r="Q134" s="18"/>
      <c r="R134" s="18"/>
      <c r="S134" s="18"/>
      <c r="T134" s="18"/>
      <c r="U134" s="18"/>
      <c r="V134" s="18"/>
      <c r="W134" s="18"/>
      <c r="X134" s="18"/>
      <c r="Y134" s="18"/>
    </row>
    <row r="135" spans="8:25" x14ac:dyDescent="0.2">
      <c r="H135" s="18"/>
      <c r="I135" s="18"/>
      <c r="J135" s="18"/>
      <c r="K135" s="18"/>
      <c r="L135" s="18"/>
      <c r="M135" s="18"/>
      <c r="N135" s="18"/>
      <c r="O135" s="18"/>
      <c r="P135" s="18"/>
      <c r="Q135" s="18"/>
      <c r="R135" s="18"/>
      <c r="S135" s="18"/>
      <c r="T135" s="18"/>
      <c r="U135" s="18"/>
      <c r="V135" s="18"/>
      <c r="W135" s="18"/>
      <c r="X135" s="18"/>
      <c r="Y135" s="18"/>
    </row>
    <row r="136" spans="8:25" x14ac:dyDescent="0.2">
      <c r="H136" s="18"/>
      <c r="I136" s="18"/>
      <c r="J136" s="18"/>
      <c r="K136" s="18"/>
      <c r="L136" s="18"/>
      <c r="M136" s="18"/>
      <c r="N136" s="18"/>
      <c r="O136" s="18"/>
      <c r="P136" s="18"/>
      <c r="Q136" s="18"/>
      <c r="R136" s="18"/>
      <c r="S136" s="18"/>
      <c r="T136" s="18"/>
      <c r="U136" s="18"/>
      <c r="V136" s="18"/>
      <c r="W136" s="18"/>
      <c r="X136" s="18"/>
      <c r="Y136" s="18"/>
    </row>
    <row r="137" spans="8:25" x14ac:dyDescent="0.2">
      <c r="H137" s="18"/>
      <c r="I137" s="18"/>
      <c r="J137" s="18"/>
      <c r="K137" s="18"/>
      <c r="L137" s="18"/>
      <c r="M137" s="18"/>
      <c r="N137" s="18"/>
      <c r="O137" s="18"/>
      <c r="P137" s="18"/>
      <c r="Q137" s="18"/>
      <c r="R137" s="18"/>
      <c r="S137" s="18"/>
      <c r="T137" s="18"/>
      <c r="U137" s="18"/>
      <c r="V137" s="18"/>
      <c r="W137" s="18"/>
      <c r="X137" s="18"/>
      <c r="Y137" s="18"/>
    </row>
    <row r="138" spans="8:25" x14ac:dyDescent="0.2">
      <c r="H138" s="18"/>
      <c r="I138" s="18"/>
      <c r="J138" s="18"/>
      <c r="K138" s="18"/>
      <c r="L138" s="18"/>
      <c r="M138" s="18"/>
      <c r="N138" s="18"/>
      <c r="O138" s="18"/>
      <c r="P138" s="18"/>
      <c r="Q138" s="18"/>
      <c r="R138" s="18"/>
      <c r="S138" s="18"/>
      <c r="T138" s="18"/>
      <c r="U138" s="18"/>
      <c r="V138" s="18"/>
      <c r="W138" s="18"/>
      <c r="X138" s="18"/>
      <c r="Y138" s="18"/>
    </row>
    <row r="139" spans="8:25" x14ac:dyDescent="0.2">
      <c r="H139" s="18"/>
      <c r="I139" s="18"/>
      <c r="J139" s="18"/>
      <c r="K139" s="18"/>
      <c r="L139" s="18"/>
      <c r="M139" s="18"/>
      <c r="N139" s="18"/>
      <c r="O139" s="18"/>
      <c r="P139" s="18"/>
      <c r="Q139" s="18"/>
      <c r="R139" s="18"/>
      <c r="S139" s="18"/>
      <c r="T139" s="18"/>
      <c r="U139" s="18"/>
      <c r="V139" s="18"/>
      <c r="W139" s="18"/>
      <c r="X139" s="18"/>
      <c r="Y139" s="18"/>
    </row>
    <row r="140" spans="8:25" x14ac:dyDescent="0.2">
      <c r="H140" s="18"/>
      <c r="I140" s="18"/>
      <c r="J140" s="18"/>
      <c r="K140" s="18"/>
      <c r="L140" s="18"/>
      <c r="M140" s="18"/>
      <c r="N140" s="18"/>
      <c r="O140" s="18"/>
      <c r="P140" s="18"/>
      <c r="Q140" s="18"/>
      <c r="R140" s="18"/>
      <c r="S140" s="18"/>
      <c r="T140" s="18"/>
      <c r="U140" s="18"/>
      <c r="V140" s="18"/>
      <c r="W140" s="18"/>
      <c r="X140" s="18"/>
      <c r="Y140" s="18"/>
    </row>
    <row r="141" spans="8:25" x14ac:dyDescent="0.2">
      <c r="H141" s="18"/>
      <c r="I141" s="18"/>
      <c r="J141" s="18"/>
      <c r="K141" s="18"/>
      <c r="L141" s="18"/>
      <c r="M141" s="18"/>
      <c r="N141" s="18"/>
      <c r="O141" s="18"/>
      <c r="P141" s="18"/>
      <c r="Q141" s="18"/>
      <c r="R141" s="18"/>
      <c r="S141" s="18"/>
      <c r="T141" s="18"/>
      <c r="U141" s="18"/>
      <c r="V141" s="18"/>
      <c r="W141" s="18"/>
      <c r="X141" s="18"/>
      <c r="Y141" s="18"/>
    </row>
    <row r="142" spans="8:25" x14ac:dyDescent="0.2">
      <c r="H142" s="18"/>
      <c r="I142" s="18"/>
      <c r="J142" s="18"/>
      <c r="K142" s="18"/>
      <c r="L142" s="18"/>
      <c r="M142" s="18"/>
      <c r="N142" s="18"/>
      <c r="O142" s="18"/>
      <c r="P142" s="18"/>
      <c r="Q142" s="18"/>
      <c r="R142" s="18"/>
      <c r="S142" s="18"/>
      <c r="T142" s="18"/>
      <c r="U142" s="18"/>
      <c r="V142" s="18"/>
      <c r="W142" s="18"/>
      <c r="X142" s="18"/>
      <c r="Y142" s="18"/>
    </row>
    <row r="143" spans="8:25" x14ac:dyDescent="0.2">
      <c r="H143" s="18"/>
      <c r="I143" s="18"/>
      <c r="J143" s="18"/>
      <c r="K143" s="18"/>
      <c r="L143" s="18"/>
      <c r="M143" s="18"/>
      <c r="N143" s="18"/>
      <c r="O143" s="18"/>
      <c r="P143" s="18"/>
      <c r="Q143" s="18"/>
      <c r="R143" s="18"/>
      <c r="S143" s="18"/>
      <c r="T143" s="18"/>
      <c r="U143" s="18"/>
      <c r="V143" s="18"/>
      <c r="W143" s="18"/>
      <c r="X143" s="18"/>
      <c r="Y143" s="18"/>
    </row>
  </sheetData>
  <sheetProtection sheet="1" objects="1" scenarios="1" selectLockedCells="1"/>
  <dataConsolidate/>
  <mergeCells count="2">
    <mergeCell ref="D2:E2"/>
    <mergeCell ref="G2:H2"/>
  </mergeCells>
  <dataValidations count="11">
    <dataValidation type="decimal" operator="greaterThanOrEqual" allowBlank="1" showInputMessage="1" showErrorMessage="1" error="RSE must be non-negative" sqref="D18:BA18 D20:BA20">
      <formula1>0</formula1>
    </dataValidation>
    <dataValidation type="decimal" operator="greaterThan" allowBlank="1" showInputMessage="1" showErrorMessage="1" error="T must be greater than zero" sqref="D13:BA13">
      <formula1>0</formula1>
    </dataValidation>
    <dataValidation type="decimal" allowBlank="1" showInputMessage="1" showErrorMessage="1" error="Prevalence must be a positive percentage not greater than 100%." sqref="D36">
      <formula1>0.000001</formula1>
      <formula2>1</formula2>
    </dataValidation>
    <dataValidation type="decimal" operator="greaterThan" allowBlank="1" showInputMessage="1" showErrorMessage="1" error="Incidence must be a percentage greater than zero." sqref="D35">
      <formula1>0</formula1>
    </dataValidation>
    <dataValidation type="decimal" operator="greaterThan" allowBlank="1" showInputMessage="1" showErrorMessage="1" error="MDRI must be greater than zero" sqref="D17:BA17">
      <formula1>0</formula1>
    </dataValidation>
    <dataValidation type="decimal" allowBlank="1" showInputMessage="1" showErrorMessage="1" error="The Design Descriptor should be a numeric value" sqref="D9:BA10">
      <formula1>-1E+100</formula1>
      <formula2>1E+100</formula2>
    </dataValidation>
    <dataValidation type="decimal" allowBlank="1" showInputMessage="1" showErrorMessage="1" error="FRR must be a non-negative percentage not greater than 100%" sqref="D19:BA19">
      <formula1>0</formula1>
      <formula2>1</formula2>
    </dataValidation>
    <dataValidation type="whole" operator="greaterThan" allowBlank="1" showInputMessage="1" showErrorMessage="1" error="Sample size should be an integer greater than 0" sqref="D39:D52">
      <formula1>0</formula1>
    </dataValidation>
    <dataValidation type="whole" operator="greaterThan" allowBlank="1" showInputMessage="1" showErrorMessage="1" error="Sample size must be an integer greater than zero." sqref="D38">
      <formula1>0</formula1>
    </dataValidation>
    <dataValidation type="decimal" allowBlank="1" showInputMessage="1" showErrorMessage="1" error="Recency test coverage must be a positive percentage not greater than 100%." sqref="D32">
      <formula1>1E-24</formula1>
      <formula2>1</formula2>
    </dataValidation>
    <dataValidation type="decimal" operator="greaterThan" allowBlank="1" showInputMessage="1" showErrorMessage="1" error="Design effect must be greater than zero." sqref="D28:D29">
      <formula1>0</formula1>
    </dataValidation>
  </dataValidations>
  <pageMargins left="0.75" right="0.75" top="1" bottom="1" header="0.5" footer="0.5"/>
  <pageSetup paperSize="9" scale="13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43</vt:i4>
      </vt:variant>
    </vt:vector>
  </HeadingPairs>
  <TitlesOfParts>
    <vt:vector size="47" baseType="lpstr">
      <vt:lpstr>About ABIE v3</vt:lpstr>
      <vt:lpstr>User Guide</vt:lpstr>
      <vt:lpstr>Single Calculation</vt:lpstr>
      <vt:lpstr>Design Comparison</vt:lpstr>
      <vt:lpstr>_cov2</vt:lpstr>
      <vt:lpstr>alpha</vt:lpstr>
      <vt:lpstr>contr_cov_frr</vt:lpstr>
      <vt:lpstr>contr_cov_mdri</vt:lpstr>
      <vt:lpstr>cov2_frr</vt:lpstr>
      <vt:lpstr>cov2_mdri</vt:lpstr>
      <vt:lpstr>cov2_n</vt:lpstr>
      <vt:lpstr>DE_prev</vt:lpstr>
      <vt:lpstr>DE_R</vt:lpstr>
      <vt:lpstr>DE_RgivenTested</vt:lpstr>
      <vt:lpstr>error</vt:lpstr>
      <vt:lpstr>frrhat</vt:lpstr>
      <vt:lpstr>frrhatcov</vt:lpstr>
      <vt:lpstr>I</vt:lpstr>
      <vt:lpstr>inc_cov</vt:lpstr>
      <vt:lpstr>max_cov</vt:lpstr>
      <vt:lpstr>max_frr</vt:lpstr>
      <vt:lpstr>max_mdri</vt:lpstr>
      <vt:lpstr>max_T</vt:lpstr>
      <vt:lpstr>maxcov_frr</vt:lpstr>
      <vt:lpstr>maxcov_mdri</vt:lpstr>
      <vt:lpstr>mdrihat</vt:lpstr>
      <vt:lpstr>mdrihatcov</vt:lpstr>
      <vt:lpstr>min_frr</vt:lpstr>
      <vt:lpstr>min_mdri</vt:lpstr>
      <vt:lpstr>min_n</vt:lpstr>
      <vt:lpstr>min_n_r</vt:lpstr>
      <vt:lpstr>min_T</vt:lpstr>
      <vt:lpstr>mincov_frr</vt:lpstr>
      <vt:lpstr>mincov_mdri</vt:lpstr>
      <vt:lpstr>n</vt:lpstr>
      <vt:lpstr>n_t</vt:lpstr>
      <vt:lpstr>P</vt:lpstr>
      <vt:lpstr>p_nr</vt:lpstr>
      <vt:lpstr>p_pos</vt:lpstr>
      <vt:lpstr>p_r</vt:lpstr>
      <vt:lpstr>p_RgivenTested</vt:lpstr>
      <vt:lpstr>p_s</vt:lpstr>
      <vt:lpstr>rec_cov</vt:lpstr>
      <vt:lpstr>rec_test_coverage</vt:lpstr>
      <vt:lpstr>T</vt:lpstr>
      <vt:lpstr>z</vt:lpstr>
      <vt:lpstr>z_2</vt:lpstr>
    </vt:vector>
  </TitlesOfParts>
  <Company>Developed for Free Distribution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Assay Based Incidence Estimation (ABIE)</dc:title>
  <dc:subject>Tool for planning and interpreting cross-sectional application of a 'test for recent infection' for the purpose of estimating incidence</dc:subject>
  <dc:creator>Reshma Kassanjee and Alex Welte</dc:creator>
  <cp:lastModifiedBy>Simon</cp:lastModifiedBy>
  <cp:lastPrinted>2009-07-15T17:52:32Z</cp:lastPrinted>
  <dcterms:created xsi:type="dcterms:W3CDTF">2009-05-28T18:56:11Z</dcterms:created>
  <dcterms:modified xsi:type="dcterms:W3CDTF">2015-06-26T13:19:32Z</dcterms:modified>
</cp:coreProperties>
</file>