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Lamis documents\Boot Camp\Challenges\Challenge 1\"/>
    </mc:Choice>
  </mc:AlternateContent>
  <xr:revisionPtr revIDLastSave="0" documentId="13_ncr:1_{6D92C70D-0F02-43E7-A9EC-217B76837250}" xr6:coauthVersionLast="46" xr6:coauthVersionMax="46" xr10:uidLastSave="{00000000-0000-0000-0000-000000000000}"/>
  <bookViews>
    <workbookView xWindow="-110" yWindow="-110" windowWidth="22780" windowHeight="14660" tabRatio="724" activeTab="2" xr2:uid="{00000000-000D-0000-FFFF-FFFF00000000}"/>
  </bookViews>
  <sheets>
    <sheet name="Kickstarter" sheetId="1" r:id="rId1"/>
    <sheet name="Theater Outcomes by Launch Date" sheetId="15" r:id="rId2"/>
    <sheet name="Outcomes based on Goals" sheetId="11" r:id="rId3"/>
    <sheet name="Outcomes based on launch dates" sheetId="4" r:id="rId4"/>
    <sheet name="Edinburgh research" sheetId="5" r:id="rId5"/>
    <sheet name="Subcategory statistics" sheetId="3" r:id="rId6"/>
    <sheet name="Category statistics" sheetId="2" r:id="rId7"/>
  </sheets>
  <definedNames>
    <definedName name="_xlnm._FilterDatabase" localSheetId="0" hidden="1">Kickstarter!$A$1:$U$4115</definedName>
  </definedNames>
  <calcPr calcId="191029"/>
  <pivotCaches>
    <pivotCache cacheId="5" r:id="rId8"/>
    <pivotCache cacheId="6" r:id="rId9"/>
    <pivotCache cacheId="2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E13" i="11" s="1"/>
  <c r="B12" i="11"/>
  <c r="E12" i="11" s="1"/>
  <c r="B11" i="11"/>
  <c r="E11" i="11" s="1"/>
  <c r="B10" i="11"/>
  <c r="E10" i="11" s="1"/>
  <c r="B9" i="11"/>
  <c r="B8" i="11"/>
  <c r="B7" i="11"/>
  <c r="B6" i="11"/>
  <c r="B5" i="11"/>
  <c r="E5" i="11" s="1"/>
  <c r="B4" i="11"/>
  <c r="E4" i="11" s="1"/>
  <c r="B3" i="11"/>
  <c r="E3" i="11" s="1"/>
  <c r="B2" i="11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G3" i="11" l="1"/>
  <c r="G11" i="11"/>
  <c r="G10" i="11"/>
  <c r="G4" i="11"/>
  <c r="G12" i="11"/>
  <c r="G5" i="11"/>
  <c r="G13" i="11"/>
  <c r="H10" i="11"/>
  <c r="H3" i="11"/>
  <c r="H11" i="11"/>
  <c r="H4" i="11"/>
  <c r="H12" i="11"/>
  <c r="H5" i="11"/>
  <c r="H13" i="11"/>
  <c r="E9" i="11"/>
  <c r="G9" i="11" s="1"/>
  <c r="F13" i="11"/>
  <c r="F5" i="11"/>
  <c r="E8" i="11"/>
  <c r="F8" i="11" s="1"/>
  <c r="F12" i="11"/>
  <c r="F4" i="11"/>
  <c r="E7" i="11"/>
  <c r="F7" i="11" s="1"/>
  <c r="F11" i="11"/>
  <c r="F3" i="11"/>
  <c r="E2" i="11"/>
  <c r="H2" i="11" s="1"/>
  <c r="E6" i="11"/>
  <c r="F6" i="11" s="1"/>
  <c r="F10" i="11"/>
  <c r="F2" i="11" l="1"/>
  <c r="G7" i="11"/>
  <c r="H6" i="11"/>
  <c r="G2" i="11"/>
  <c r="G6" i="11"/>
  <c r="G8" i="11"/>
  <c r="H9" i="11"/>
  <c r="F9" i="11"/>
  <c r="H8" i="11"/>
  <c r="H7" i="11"/>
</calcChain>
</file>

<file path=xl/sharedStrings.xml><?xml version="1.0" encoding="utf-8"?>
<sst xmlns="http://schemas.openxmlformats.org/spreadsheetml/2006/main" count="33031" uniqueCount="8406">
  <si>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</si>
  <si>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</si>
  <si>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</si>
  <si>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</si>
  <si>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</si>
  <si>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</si>
  <si>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</si>
  <si>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</si>
  <si>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</si>
  <si>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</si>
  <si>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</si>
  <si>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</si>
  <si>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</si>
  <si>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</si>
  <si>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</si>
  <si>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</si>
  <si>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</si>
  <si>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</si>
  <si>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</si>
  <si>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</si>
  <si>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</si>
  <si>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</si>
  <si>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</si>
  <si>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</si>
  <si>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</si>
  <si>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</si>
  <si>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</si>
  <si>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</si>
  <si>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</si>
  <si>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</si>
  <si>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</si>
  <si>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</si>
  <si>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</si>
  <si>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</si>
  <si>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</si>
  <si>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</si>
  <si>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</si>
  <si>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</si>
  <si>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</si>
  <si>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</si>
  <si>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</si>
  <si>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</si>
  <si>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</si>
  <si>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</si>
  <si>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</si>
  <si>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</si>
  <si>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</si>
  <si>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</si>
  <si>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</si>
  <si>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</si>
  <si>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</si>
  <si>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</si>
  <si>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</si>
  <si>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</si>
  <si>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</si>
  <si>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</si>
  <si>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</si>
  <si>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</si>
  <si>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</si>
  <si>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</si>
  <si>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</si>
  <si>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</si>
  <si>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</si>
  <si>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</si>
  <si>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</si>
  <si>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</si>
  <si>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</si>
  <si>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</si>
  <si>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</si>
  <si>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</si>
  <si>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</si>
  <si>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</si>
  <si>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</si>
  <si>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</si>
  <si>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</si>
  <si>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</si>
  <si>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</si>
  <si>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</si>
  <si>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</si>
  <si>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</si>
  <si>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</si>
  <si>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</si>
  <si>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</si>
  <si>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</si>
  <si>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</si>
  <si>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</si>
  <si>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</si>
  <si>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</si>
  <si>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</si>
  <si>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</si>
  <si>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</si>
  <si>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</si>
  <si>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</si>
  <si>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</si>
  <si>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</si>
  <si>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</si>
  <si>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</si>
  <si>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</si>
  <si>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</si>
  <si>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</si>
  <si>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</si>
  <si>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</si>
  <si>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</si>
  <si>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</si>
  <si>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</si>
  <si>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</si>
  <si>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</si>
  <si>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</si>
  <si>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</si>
  <si>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</si>
  <si>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</si>
  <si>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</si>
  <si>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</si>
  <si>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</si>
  <si>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</si>
  <si>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</si>
  <si>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</si>
  <si>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</si>
  <si>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</si>
  <si>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</si>
  <si>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</si>
  <si>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</si>
  <si>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</si>
  <si>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</si>
  <si>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</si>
  <si>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</si>
  <si>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</si>
  <si>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</si>
  <si>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</si>
  <si>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</si>
  <si>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</si>
  <si>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</si>
  <si>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</si>
  <si>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</si>
  <si>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</si>
  <si>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</si>
  <si>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</si>
  <si>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</si>
  <si>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</si>
  <si>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</si>
  <si>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</si>
  <si>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</si>
  <si>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</si>
  <si>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</si>
  <si>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</si>
  <si>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</si>
  <si>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</si>
  <si>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</si>
  <si>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</si>
  <si>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</si>
  <si>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</si>
  <si>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</si>
  <si>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</si>
  <si>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</si>
  <si>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</si>
  <si>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</si>
  <si>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</si>
  <si>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</si>
  <si>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</si>
  <si>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</si>
  <si>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</si>
  <si>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</si>
  <si>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</si>
  <si>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</si>
  <si>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</si>
  <si>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</si>
  <si>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</si>
  <si>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</si>
  <si>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</si>
  <si>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</si>
  <si>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</si>
  <si>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</si>
  <si>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</si>
  <si>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</si>
  <si>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</si>
  <si>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</si>
  <si>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</si>
  <si>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</si>
  <si>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</si>
  <si>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</si>
  <si>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</si>
  <si>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</si>
  <si>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</si>
  <si>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</si>
  <si>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</si>
  <si>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</si>
  <si>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</si>
  <si>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</si>
  <si>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</si>
  <si>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</si>
  <si>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</si>
  <si>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</si>
  <si>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</si>
  <si>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</si>
  <si>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</si>
  <si>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</si>
  <si>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</si>
  <si>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</si>
  <si>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</si>
  <si>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</si>
  <si>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</si>
  <si>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</si>
  <si>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</si>
  <si>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</si>
  <si>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</si>
  <si>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</si>
  <si>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</si>
  <si>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</si>
  <si>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</si>
  <si>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</si>
  <si>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</si>
  <si>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</si>
  <si>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</si>
  <si>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</si>
  <si>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</si>
  <si>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</si>
  <si>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</si>
  <si>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</si>
  <si>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</si>
  <si>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</si>
  <si>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</si>
  <si>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</si>
  <si>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</si>
  <si>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</si>
  <si>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</si>
  <si>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</si>
  <si>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</si>
  <si>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</si>
  <si>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</si>
  <si>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</si>
  <si>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</si>
  <si>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</si>
  <si>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</si>
  <si>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</si>
  <si>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</si>
  <si>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</si>
  <si>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</si>
  <si>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</si>
  <si>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</si>
  <si>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</si>
  <si>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</si>
  <si>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</si>
  <si>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</si>
  <si>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</si>
  <si>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</si>
  <si>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</si>
  <si>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</si>
  <si>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</si>
  <si>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</si>
  <si>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</si>
  <si>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</si>
  <si>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</si>
  <si>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</si>
  <si>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</si>
  <si>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</si>
  <si>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</si>
  <si>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</si>
  <si>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</si>
  <si>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</si>
  <si>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</si>
  <si>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</si>
  <si>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</si>
  <si>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</si>
  <si>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</si>
  <si>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</si>
  <si>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</si>
  <si>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</si>
  <si>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</si>
  <si>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</si>
  <si>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</si>
  <si>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</si>
  <si>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</si>
  <si>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</si>
  <si>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</si>
  <si>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</si>
  <si>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</si>
  <si>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</si>
  <si>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</si>
  <si>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</si>
  <si>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</si>
  <si>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</si>
  <si>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</si>
  <si>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</si>
  <si>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</si>
  <si>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</si>
  <si>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</si>
  <si>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</si>
  <si>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</si>
  <si>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</si>
  <si>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</si>
  <si>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</si>
  <si>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</si>
  <si>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</si>
  <si>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</si>
  <si>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</si>
  <si>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</si>
  <si>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</si>
  <si>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</si>
  <si>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</si>
  <si>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</si>
  <si>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</si>
  <si>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</si>
  <si>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</si>
  <si>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</si>
  <si>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</si>
  <si>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</si>
  <si>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</si>
  <si>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</si>
  <si>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</si>
  <si>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</si>
  <si>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</si>
  <si>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</si>
  <si>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</si>
  <si>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</si>
  <si>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</si>
  <si>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</si>
  <si>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</si>
  <si>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</si>
  <si>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</si>
  <si>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</si>
  <si>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</si>
  <si>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</si>
  <si>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</si>
  <si>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</si>
  <si>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</si>
  <si>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</si>
  <si>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</si>
  <si>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</si>
  <si>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</si>
  <si>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</si>
  <si>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</si>
  <si>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</si>
  <si>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</si>
  <si>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</si>
  <si>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</si>
  <si>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</si>
  <si>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</si>
  <si>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</si>
  <si>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</si>
  <si>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</si>
  <si>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</si>
  <si>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</si>
  <si>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</si>
  <si>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</si>
  <si>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</si>
  <si>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</si>
  <si>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</si>
  <si>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</si>
  <si>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</si>
  <si>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</si>
  <si>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</si>
  <si>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</si>
  <si>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</si>
  <si>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</si>
  <si>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</si>
  <si>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</si>
  <si>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</si>
  <si>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</si>
  <si>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</si>
  <si>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</si>
  <si>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</si>
  <si>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</si>
  <si>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</si>
  <si>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</si>
  <si>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</si>
  <si>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</si>
  <si>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</si>
  <si>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</si>
  <si>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</si>
  <si>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</si>
  <si>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</si>
  <si>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</si>
  <si>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</si>
  <si>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</si>
  <si>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</si>
  <si>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</si>
  <si>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</si>
  <si>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</si>
  <si>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</si>
  <si>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</si>
  <si>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</si>
  <si>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</si>
  <si>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</si>
  <si>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</si>
  <si>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</si>
  <si>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</si>
  <si>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</si>
  <si>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</si>
  <si>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</si>
  <si>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</si>
  <si>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</si>
  <si>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</si>
  <si>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</si>
  <si>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</si>
  <si>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</si>
  <si>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</si>
  <si>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</si>
  <si>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</si>
  <si>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</si>
  <si>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</si>
  <si>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</si>
  <si>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</si>
  <si>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</si>
  <si>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</si>
  <si>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</si>
  <si>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</si>
  <si>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</si>
  <si>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</si>
  <si>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</si>
  <si>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</si>
  <si>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</si>
  <si>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</si>
  <si>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</si>
  <si>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</si>
  <si>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</si>
  <si>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</si>
  <si>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</si>
  <si>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</si>
  <si>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</si>
  <si>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</si>
  <si>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</si>
  <si>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</si>
  <si>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</si>
  <si>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</si>
  <si>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</si>
  <si>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</si>
  <si>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</si>
  <si>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</si>
  <si>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</si>
  <si>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</si>
  <si>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</si>
  <si>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</si>
  <si>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</si>
  <si>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</si>
  <si>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</si>
  <si>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</si>
  <si>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</si>
  <si>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</si>
  <si>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</si>
  <si>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</si>
  <si>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</si>
  <si>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</si>
  <si>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</si>
  <si>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</si>
  <si>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</si>
  <si>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</si>
  <si>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</si>
  <si>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</si>
  <si>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</si>
  <si>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</si>
  <si>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</si>
  <si>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</si>
  <si>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</si>
  <si>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</si>
  <si>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</si>
  <si>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</si>
  <si>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</si>
  <si>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</si>
  <si>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</si>
  <si>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</si>
  <si>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</si>
  <si>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</si>
  <si>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</si>
  <si>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</si>
  <si>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</si>
  <si>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</si>
  <si>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</si>
  <si>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</si>
  <si>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</si>
  <si>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</si>
  <si>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</si>
  <si>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</si>
  <si>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</si>
  <si>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</si>
  <si>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</si>
  <si>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</si>
  <si>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</si>
  <si>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</si>
  <si>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</si>
  <si>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</si>
  <si>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</si>
  <si>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</si>
  <si>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</si>
  <si>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</si>
  <si>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</si>
  <si>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</si>
  <si>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</si>
  <si>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</si>
  <si>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</si>
  <si>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</si>
  <si>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</si>
  <si>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</si>
  <si>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</si>
  <si>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</si>
  <si>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</si>
  <si>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</si>
  <si>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</si>
  <si>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</si>
  <si>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</si>
  <si>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</si>
  <si>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</si>
  <si>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</si>
  <si>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</si>
  <si>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</si>
  <si>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</si>
  <si>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</si>
  <si>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</si>
  <si>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</si>
  <si>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</si>
  <si>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</si>
  <si>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</si>
  <si>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</si>
  <si>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</si>
  <si>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</si>
  <si>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</si>
  <si>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</si>
  <si>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</si>
  <si>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</si>
  <si>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</si>
  <si>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</si>
  <si>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</si>
  <si>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</si>
  <si>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</si>
  <si>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</si>
  <si>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</si>
  <si>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</si>
  <si>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</si>
  <si>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</si>
  <si>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</si>
  <si>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</si>
  <si>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</si>
  <si>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</si>
  <si>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</si>
  <si>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</si>
  <si>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</si>
  <si>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</si>
  <si>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</si>
  <si>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</si>
  <si>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</si>
  <si>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</si>
  <si>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</si>
  <si>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</si>
  <si>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</si>
  <si>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</si>
  <si>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</si>
  <si>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</si>
  <si>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</si>
  <si>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</si>
  <si>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</si>
  <si>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</si>
  <si>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</si>
  <si>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</si>
  <si>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</si>
  <si>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</si>
  <si>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</si>
  <si>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</si>
  <si>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</si>
  <si>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</si>
  <si>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</si>
  <si>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</si>
  <si>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</si>
  <si>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</si>
  <si>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</si>
  <si>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</si>
  <si>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</si>
  <si>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</si>
  <si>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</si>
  <si>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</si>
  <si>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</si>
  <si>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</si>
  <si>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</si>
  <si>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</si>
  <si>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</si>
  <si>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</si>
  <si>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</si>
  <si>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</si>
  <si>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</si>
  <si>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</si>
  <si>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</si>
  <si>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</si>
  <si>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</si>
  <si>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</si>
  <si>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</si>
  <si>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</si>
  <si>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</si>
  <si>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</si>
  <si>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</si>
  <si>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</si>
  <si>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</si>
  <si>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</si>
  <si>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</si>
  <si>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</si>
  <si>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</si>
  <si>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</si>
  <si>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</si>
  <si>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</si>
  <si>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</si>
  <si>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</si>
  <si>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</si>
  <si>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</si>
  <si>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</si>
  <si>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</si>
  <si>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</si>
  <si>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</si>
  <si>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</si>
  <si>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</si>
  <si>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</si>
  <si>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</si>
  <si>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</si>
  <si>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</si>
  <si>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</si>
  <si>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</si>
  <si>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</si>
  <si>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</si>
  <si>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</si>
  <si>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</si>
  <si>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</si>
  <si>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</si>
  <si>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</si>
  <si>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</si>
  <si>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</si>
  <si>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</si>
  <si>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</si>
  <si>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</si>
  <si>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</si>
  <si>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</si>
  <si>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</si>
  <si>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</si>
  <si>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</si>
  <si>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</si>
  <si>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</si>
  <si>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</si>
  <si>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</si>
  <si>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</si>
  <si>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</si>
  <si>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</si>
  <si>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</si>
  <si>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</si>
  <si>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</si>
  <si>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</si>
  <si>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</si>
  <si>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</si>
  <si>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</si>
  <si>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</si>
  <si>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</si>
  <si>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</si>
  <si>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</si>
  <si>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</si>
  <si>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</si>
  <si>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</si>
  <si>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</si>
  <si>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</si>
  <si>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</si>
  <si>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</si>
  <si>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</si>
  <si>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</si>
  <si>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</si>
  <si>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</si>
  <si>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</si>
  <si>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</si>
  <si>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</si>
  <si>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</si>
  <si>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</si>
  <si>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</si>
  <si>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</si>
  <si>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</si>
  <si>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</si>
  <si>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</si>
  <si>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</si>
  <si>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</si>
  <si>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</si>
  <si>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</si>
  <si>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</si>
  <si>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</si>
  <si>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</si>
  <si>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</si>
  <si>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</si>
  <si>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</si>
  <si>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</si>
  <si>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</si>
  <si>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</si>
  <si>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</si>
  <si>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</si>
  <si>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</si>
  <si>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</si>
  <si>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</si>
  <si>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</si>
  <si>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</si>
  <si>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</si>
  <si>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</si>
  <si>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</si>
  <si>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</si>
  <si>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</si>
  <si>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</si>
  <si>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</si>
  <si>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</si>
  <si>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</si>
  <si>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</si>
  <si>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</si>
  <si>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</si>
  <si>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</si>
  <si>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</si>
  <si>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</si>
  <si>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</si>
  <si>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</si>
  <si>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</si>
  <si>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</si>
  <si>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</si>
  <si>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</si>
  <si>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</si>
  <si>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</si>
  <si>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</si>
  <si>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</si>
  <si>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</si>
  <si>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</si>
  <si>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</si>
  <si>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</si>
  <si>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</si>
  <si>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</si>
  <si>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</si>
  <si>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</si>
  <si>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</si>
  <si>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</si>
  <si>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</si>
  <si>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</si>
  <si>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</si>
  <si>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</si>
  <si>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</si>
  <si>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</si>
  <si>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</si>
  <si>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</si>
  <si>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</si>
  <si>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</si>
  <si>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</si>
  <si>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</si>
  <si>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</si>
  <si>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</si>
  <si>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</si>
  <si>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</si>
  <si>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</si>
  <si>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</si>
  <si>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</si>
  <si>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</si>
  <si>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</si>
  <si>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</si>
  <si>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</si>
  <si>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</si>
  <si>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</si>
  <si>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</si>
  <si>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</si>
  <si>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</si>
  <si>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</si>
  <si>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</si>
  <si>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</si>
  <si>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</si>
  <si>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</si>
  <si>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</si>
  <si>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</si>
  <si>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</si>
  <si>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</si>
  <si>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</si>
  <si>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</si>
  <si>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</si>
  <si>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</si>
  <si>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</si>
  <si>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</si>
  <si>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</si>
  <si>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</si>
  <si>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</si>
  <si>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</si>
  <si>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</si>
  <si>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</si>
  <si>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</si>
  <si>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</si>
  <si>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</si>
  <si>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</si>
  <si>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</si>
  <si>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</si>
  <si>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</si>
  <si>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</si>
  <si>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</si>
  <si>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</si>
  <si>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</si>
  <si>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</si>
  <si>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</si>
  <si>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</si>
  <si>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</si>
  <si>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</si>
  <si>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</si>
  <si>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</si>
  <si>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</si>
  <si>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</si>
  <si>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</si>
  <si>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</si>
  <si>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</si>
  <si>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</si>
  <si>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</si>
  <si>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</si>
  <si>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</si>
  <si>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</si>
  <si>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</si>
  <si>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</si>
  <si>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</si>
  <si>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</si>
  <si>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</si>
  <si>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</si>
  <si>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</si>
  <si>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</si>
  <si>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</si>
  <si>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</si>
  <si>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</si>
  <si>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</si>
  <si>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</si>
  <si>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</si>
  <si>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</si>
  <si>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</si>
  <si>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</si>
  <si>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</si>
  <si>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</si>
  <si>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</si>
  <si>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</si>
  <si>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</si>
  <si>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</si>
  <si>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</si>
  <si>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</si>
  <si>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</si>
  <si>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</si>
  <si>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</si>
  <si>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</si>
  <si>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</si>
  <si>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</si>
  <si>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</si>
  <si>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</si>
  <si>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</si>
  <si>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</si>
  <si>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</si>
  <si>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</si>
  <si>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</si>
  <si>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</si>
  <si>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</si>
  <si>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</si>
  <si>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</si>
  <si>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</si>
  <si>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</si>
  <si>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</si>
  <si>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</si>
  <si>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</si>
  <si>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</si>
  <si>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</si>
  <si>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</si>
  <si>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</si>
  <si>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</si>
  <si>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</si>
  <si>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</si>
  <si>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</si>
  <si>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</si>
  <si>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</si>
  <si>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</si>
  <si>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</si>
  <si>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</si>
  <si>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</si>
  <si>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</si>
  <si>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</si>
  <si>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</si>
  <si>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</si>
  <si>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</si>
  <si>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</si>
  <si>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</si>
  <si>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</si>
  <si>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</si>
  <si>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</si>
  <si>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</si>
  <si>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</si>
  <si>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</si>
  <si>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</si>
  <si>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</si>
  <si>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</si>
  <si>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</si>
  <si>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</si>
  <si>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</si>
  <si>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</si>
  <si>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</si>
  <si>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</si>
  <si>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</si>
  <si>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</si>
  <si>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</si>
  <si>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</si>
  <si>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</si>
  <si>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</si>
  <si>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</si>
  <si>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</si>
  <si>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</si>
  <si>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</si>
  <si>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</si>
  <si>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</si>
  <si>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</si>
  <si>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</si>
  <si>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</si>
  <si>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</si>
  <si>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</si>
  <si>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</si>
  <si>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</si>
  <si>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</si>
  <si>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</si>
  <si>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</si>
  <si>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</si>
  <si>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</si>
  <si>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</si>
  <si>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</si>
  <si>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</si>
  <si>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</si>
  <si>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</si>
  <si>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</si>
  <si>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</si>
  <si>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</si>
  <si>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</si>
  <si>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</si>
  <si>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</si>
  <si>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</si>
  <si>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</si>
  <si>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</si>
  <si>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</si>
  <si>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</si>
  <si>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</si>
  <si>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</si>
  <si>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</si>
  <si>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</si>
  <si>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</si>
  <si>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</si>
  <si>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</si>
  <si>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</si>
  <si>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</si>
  <si>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</si>
  <si>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</si>
  <si>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</si>
  <si>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</si>
  <si>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</si>
  <si>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</si>
  <si>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</si>
  <si>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</si>
  <si>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</si>
  <si>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</si>
  <si>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</si>
  <si>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</si>
  <si>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</si>
  <si>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</si>
  <si>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</si>
  <si>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</si>
  <si>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</si>
  <si>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</si>
  <si>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</si>
  <si>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</si>
  <si>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</si>
  <si>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</si>
  <si>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</si>
  <si>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</si>
  <si>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</si>
  <si>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</si>
  <si>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</si>
  <si>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</si>
  <si>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</si>
  <si>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</si>
  <si>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</si>
  <si>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</si>
  <si>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</si>
  <si>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</si>
  <si>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</si>
  <si>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</si>
  <si>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</si>
  <si>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</si>
  <si>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</si>
  <si>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</si>
  <si>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</si>
  <si>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</si>
  <si>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</si>
  <si>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</si>
  <si>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</si>
  <si>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</si>
  <si>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</si>
  <si>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</si>
  <si>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</si>
  <si>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</si>
  <si>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</si>
  <si>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</si>
  <si>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</si>
  <si>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</si>
  <si>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</si>
  <si>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</si>
  <si>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</si>
  <si>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</si>
  <si>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</si>
  <si>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</si>
  <si>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</si>
  <si>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</si>
  <si>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</si>
  <si>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</si>
  <si>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</si>
  <si>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</si>
  <si>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</si>
  <si>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</si>
  <si>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</si>
  <si>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</si>
  <si>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</si>
  <si>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</si>
  <si>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</si>
  <si>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</si>
  <si>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</si>
  <si>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</si>
  <si>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</si>
  <si>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</si>
  <si>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</si>
  <si>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</si>
  <si>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</si>
  <si>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</si>
  <si>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</si>
  <si>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</si>
  <si>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</si>
  <si>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</si>
  <si>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</si>
  <si>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</si>
  <si>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</si>
  <si>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</si>
  <si>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</si>
  <si>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</si>
  <si>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</si>
  <si>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</si>
  <si>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</si>
  <si>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</si>
  <si>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</si>
  <si>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</si>
  <si>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</si>
  <si>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</si>
  <si>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</si>
  <si>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</si>
  <si>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</si>
  <si>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</si>
  <si>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</si>
  <si>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</si>
  <si>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</si>
  <si>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</si>
  <si>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</si>
  <si>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</si>
  <si>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</si>
  <si>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</si>
  <si>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</si>
  <si>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</si>
  <si>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</si>
  <si>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</si>
  <si>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</si>
  <si>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</si>
  <si>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</si>
  <si>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</si>
  <si>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</si>
  <si>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</si>
  <si>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</si>
  <si>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</si>
  <si>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</si>
  <si>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</si>
  <si>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</si>
  <si>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</si>
  <si>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</si>
  <si>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</si>
  <si>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</si>
  <si>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</si>
  <si>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</si>
  <si>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</si>
  <si>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</si>
  <si>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</si>
  <si>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</si>
  <si>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</si>
  <si>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</si>
  <si>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</si>
  <si>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</si>
  <si>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</si>
  <si>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</si>
  <si>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</si>
  <si>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</si>
  <si>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</si>
  <si>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</si>
  <si>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</si>
  <si>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</si>
  <si>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</si>
  <si>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</si>
  <si>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</si>
  <si>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</si>
  <si>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</si>
  <si>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</si>
  <si>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</si>
  <si>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</si>
  <si>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</si>
  <si>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</si>
  <si>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</si>
  <si>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</si>
  <si>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</si>
  <si>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</si>
  <si>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</si>
  <si>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</si>
  <si>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</si>
  <si>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</si>
  <si>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</si>
  <si>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</si>
  <si>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</si>
  <si>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</si>
  <si>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</si>
  <si>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</si>
  <si>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</si>
  <si>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</si>
  <si>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</si>
  <si>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</si>
  <si>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</si>
  <si>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</si>
  <si>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</si>
  <si>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</si>
  <si>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</si>
  <si>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</si>
  <si>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</si>
  <si>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</si>
  <si>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</si>
  <si>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</si>
  <si>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</si>
  <si>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</si>
  <si>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</si>
  <si>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</si>
  <si>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</si>
  <si>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</si>
  <si>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</si>
  <si>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</si>
  <si>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</si>
  <si>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</si>
  <si>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</si>
  <si>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</si>
  <si>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</si>
  <si>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</si>
  <si>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</si>
  <si>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</si>
  <si>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</si>
  <si>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</si>
  <si>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</si>
  <si>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</si>
  <si>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</si>
  <si>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</si>
  <si>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</si>
  <si>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</si>
  <si>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</si>
  <si>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</si>
  <si>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</si>
  <si>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</si>
  <si>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</si>
  <si>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</si>
  <si>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</si>
  <si>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</si>
  <si>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</si>
  <si>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</si>
  <si>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</si>
  <si>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</si>
  <si>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</si>
  <si>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</si>
  <si>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</si>
  <si>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</si>
  <si>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</si>
  <si>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</si>
  <si>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</si>
  <si>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</si>
  <si>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</si>
  <si>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</si>
  <si>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</si>
  <si>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</si>
  <si>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</si>
  <si>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</si>
  <si>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</si>
  <si>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</si>
  <si>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</si>
  <si>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</si>
  <si>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</si>
  <si>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</si>
  <si>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</si>
  <si>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</si>
  <si>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</si>
  <si>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</si>
  <si>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</si>
  <si>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</si>
  <si>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</si>
  <si>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</si>
  <si>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</si>
  <si>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</si>
  <si>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</si>
  <si>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</si>
  <si>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</si>
  <si>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</si>
  <si>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</si>
  <si>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</si>
  <si>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</si>
  <si>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</si>
  <si>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</si>
  <si>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</si>
  <si>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</si>
  <si>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</si>
  <si>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</si>
  <si>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</si>
  <si>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</si>
  <si>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</si>
  <si>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</si>
  <si>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</si>
  <si>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</si>
  <si>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</si>
  <si>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</si>
  <si>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</si>
  <si>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</si>
  <si>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</si>
  <si>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</si>
  <si>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</si>
  <si>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</si>
  <si>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</si>
  <si>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</si>
  <si>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</si>
  <si>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</si>
  <si>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</si>
  <si>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</si>
  <si>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</si>
  <si>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</si>
  <si>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</si>
  <si>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</si>
  <si>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</si>
  <si>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</si>
  <si>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</si>
  <si>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</si>
  <si>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</si>
  <si>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</si>
  <si>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</si>
  <si>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</si>
  <si>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</si>
  <si>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</si>
  <si>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</si>
  <si>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</si>
  <si>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</si>
  <si>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</si>
  <si>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</si>
  <si>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</si>
  <si>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</si>
  <si>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</si>
  <si>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</si>
  <si>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</si>
  <si>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</si>
  <si>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</si>
  <si>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</si>
  <si>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</si>
  <si>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</si>
  <si>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</si>
  <si>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</si>
  <si>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</si>
  <si>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</si>
  <si>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</si>
  <si>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</si>
  <si>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</si>
  <si>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</si>
  <si>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</si>
  <si>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</si>
  <si>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</si>
  <si>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</si>
  <si>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</si>
  <si>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</si>
  <si>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</si>
  <si>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</si>
  <si>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</si>
  <si>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</si>
  <si>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</si>
  <si>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</si>
  <si>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</si>
  <si>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</si>
  <si>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</si>
  <si>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</si>
  <si>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</si>
  <si>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</si>
  <si>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</si>
  <si>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</si>
  <si>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</si>
  <si>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</si>
  <si>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</si>
  <si>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</si>
  <si>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</si>
  <si>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</si>
  <si>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</si>
  <si>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</si>
  <si>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</si>
  <si>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</si>
  <si>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</si>
  <si>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</si>
  <si>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</si>
  <si>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</si>
  <si>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</si>
  <si>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</si>
  <si>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</si>
  <si>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</si>
  <si>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</si>
  <si>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</si>
  <si>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</si>
  <si>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</si>
  <si>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</si>
  <si>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</si>
  <si>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</si>
  <si>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</si>
  <si>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</si>
  <si>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</si>
  <si>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</si>
  <si>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</si>
  <si>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</si>
  <si>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</si>
  <si>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</si>
  <si>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</si>
  <si>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</si>
  <si>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</si>
  <si>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</si>
  <si>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</si>
  <si>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</si>
  <si>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</si>
  <si>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</si>
  <si>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</si>
  <si>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</si>
  <si>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</si>
  <si>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</si>
  <si>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</si>
  <si>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</si>
  <si>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</si>
  <si>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</si>
  <si>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</si>
  <si>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</si>
  <si>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</si>
  <si>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</si>
  <si>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</si>
  <si>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</si>
  <si>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</si>
  <si>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</si>
  <si>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</si>
  <si>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</si>
  <si>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</si>
  <si>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</si>
  <si>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</si>
  <si>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</si>
  <si>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</si>
  <si>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</si>
  <si>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</si>
  <si>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</si>
  <si>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</si>
  <si>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</si>
  <si>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</si>
  <si>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</si>
  <si>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</si>
  <si>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</si>
  <si>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</si>
  <si>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</si>
  <si>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</si>
  <si>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</si>
  <si>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</si>
  <si>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</si>
  <si>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</si>
  <si>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</si>
  <si>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</si>
  <si>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</si>
  <si>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</si>
  <si>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</si>
  <si>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</si>
  <si>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</si>
  <si>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</si>
  <si>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</si>
  <si>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</si>
  <si>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</si>
  <si>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</si>
  <si>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</si>
  <si>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</si>
  <si>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</si>
  <si>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</si>
  <si>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</si>
  <si>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</si>
  <si>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</si>
  <si>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</si>
  <si>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</si>
  <si>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</si>
  <si>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</si>
  <si>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</si>
  <si>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</si>
  <si>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</si>
  <si>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</si>
  <si>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</si>
  <si>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</si>
  <si>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</si>
  <si>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</si>
  <si>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</si>
  <si>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</si>
  <si>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</si>
  <si>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</si>
  <si>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</si>
  <si>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</si>
  <si>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</si>
  <si>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</si>
  <si>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</si>
  <si>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</si>
  <si>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</si>
  <si>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</si>
  <si>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</si>
  <si>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</si>
  <si>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</si>
  <si>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</si>
  <si>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</si>
  <si>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</si>
  <si>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</si>
  <si>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</si>
  <si>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</si>
  <si>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</si>
  <si>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</si>
  <si>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</si>
  <si>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</si>
  <si>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</si>
  <si>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</si>
  <si>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</si>
  <si>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</si>
  <si>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</si>
  <si>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</si>
  <si>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</si>
  <si>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</si>
  <si>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</si>
  <si>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</si>
  <si>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</si>
  <si>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</si>
  <si>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</si>
  <si>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</si>
  <si>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</si>
  <si>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</si>
  <si>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</si>
  <si>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</si>
  <si>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</si>
  <si>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</si>
  <si>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</si>
  <si>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</si>
  <si>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</si>
  <si>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</si>
  <si>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</si>
  <si>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</si>
  <si>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</si>
  <si>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</si>
  <si>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</si>
  <si>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</si>
  <si>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</si>
  <si>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</si>
  <si>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</si>
  <si>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</si>
  <si>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</si>
  <si>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</si>
  <si>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</si>
  <si>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</si>
  <si>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</si>
  <si>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</si>
  <si>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</si>
  <si>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</si>
  <si>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</si>
  <si>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</si>
  <si>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</si>
  <si>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</si>
  <si>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</si>
  <si>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</si>
  <si>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</si>
  <si>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</si>
  <si>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</si>
  <si>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</si>
  <si>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</si>
  <si>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</si>
  <si>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</si>
  <si>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</si>
  <si>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</si>
  <si>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</si>
  <si>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</si>
  <si>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</si>
  <si>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</si>
  <si>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</si>
  <si>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</si>
  <si>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</si>
  <si>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</si>
  <si>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</si>
  <si>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</si>
  <si>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</si>
  <si>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</si>
  <si>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</si>
  <si>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</si>
  <si>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</si>
  <si>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</si>
  <si>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</si>
  <si>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</si>
  <si>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</si>
  <si>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</si>
  <si>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</si>
  <si>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</si>
  <si>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</si>
  <si>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</si>
  <si>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</si>
  <si>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</si>
  <si>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</si>
  <si>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</si>
  <si>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</si>
  <si>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</si>
  <si>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</si>
  <si>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</si>
  <si>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</si>
  <si>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</si>
  <si>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</si>
  <si>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</si>
  <si>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</si>
  <si>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</si>
  <si>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</si>
  <si>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</si>
  <si>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</si>
  <si>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</si>
  <si>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</si>
  <si>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</si>
  <si>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</si>
  <si>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</si>
  <si>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</si>
  <si>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</si>
  <si>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</si>
  <si>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</si>
  <si>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</si>
  <si>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</si>
  <si>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</si>
  <si>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</si>
  <si>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</si>
  <si>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</si>
  <si>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</si>
  <si>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</si>
  <si>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</si>
  <si>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</si>
  <si>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</si>
  <si>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</si>
  <si>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</si>
  <si>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</si>
  <si>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</si>
  <si>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</si>
  <si>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</si>
  <si>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</si>
  <si>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</si>
  <si>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</si>
  <si>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</si>
  <si>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</si>
  <si>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</si>
  <si>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</si>
  <si>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</si>
  <si>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</si>
  <si>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</si>
  <si>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</si>
  <si>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</si>
  <si>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</si>
  <si>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</si>
  <si>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</si>
  <si>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</si>
  <si>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</si>
  <si>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</si>
  <si>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</si>
  <si>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</si>
  <si>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</si>
  <si>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</si>
  <si>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</si>
  <si>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</si>
  <si>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</si>
  <si>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</si>
  <si>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</si>
  <si>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</si>
  <si>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</si>
  <si>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</si>
  <si>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</si>
  <si>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</si>
  <si>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</si>
  <si>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</si>
  <si>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</si>
  <si>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</si>
  <si>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</si>
  <si>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</si>
  <si>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</si>
  <si>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</si>
  <si>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</si>
  <si>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</si>
  <si>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</si>
  <si>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</si>
  <si>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</si>
  <si>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</si>
  <si>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</si>
  <si>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</si>
  <si>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</si>
  <si>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</si>
  <si>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</si>
  <si>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</si>
  <si>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</si>
  <si>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</si>
  <si>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</si>
  <si>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</si>
  <si>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</si>
  <si>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</si>
  <si>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</si>
  <si>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</si>
  <si>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</si>
  <si>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</si>
  <si>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</si>
  <si>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</si>
  <si>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</si>
  <si>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</si>
  <si>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</si>
  <si>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</si>
  <si>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</si>
  <si>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</si>
  <si>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</si>
  <si>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</si>
  <si>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</si>
  <si>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</si>
  <si>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</si>
  <si>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</si>
  <si>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</si>
  <si>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</si>
  <si>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</si>
  <si>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</si>
  <si>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</si>
  <si>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</si>
  <si>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</si>
  <si>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</si>
  <si>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</si>
  <si>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</si>
  <si>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</si>
  <si>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</si>
  <si>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</si>
  <si>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</si>
  <si>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</si>
  <si>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</si>
  <si>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</si>
  <si>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</si>
  <si>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</si>
  <si>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</si>
  <si>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</si>
  <si>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</si>
  <si>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</si>
  <si>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</si>
  <si>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</si>
  <si>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</si>
  <si>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</si>
  <si>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</si>
  <si>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</si>
  <si>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</si>
  <si>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</si>
  <si>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</si>
  <si>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</si>
  <si>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</si>
  <si>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</si>
  <si>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</si>
  <si>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</si>
  <si>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</si>
  <si>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</si>
  <si>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</si>
  <si>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</si>
  <si>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</si>
  <si>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</si>
  <si>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</si>
  <si>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</si>
  <si>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</si>
  <si>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</si>
  <si>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</si>
  <si>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</si>
  <si>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</si>
  <si>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</si>
  <si>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</si>
  <si>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</si>
  <si>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</si>
  <si>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</si>
  <si>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</si>
  <si>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</si>
  <si>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</si>
  <si>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</si>
  <si>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</si>
  <si>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</si>
  <si>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</si>
  <si>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</si>
  <si>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</si>
  <si>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</si>
  <si>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</si>
  <si>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</si>
  <si>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</si>
  <si>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</si>
  <si>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</si>
  <si>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</si>
  <si>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</si>
  <si>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</si>
  <si>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</si>
  <si>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</si>
  <si>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</si>
  <si>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</si>
  <si>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</si>
  <si>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</si>
  <si>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</si>
  <si>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</si>
  <si>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</si>
  <si>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</si>
  <si>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</si>
  <si>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</si>
  <si>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</si>
  <si>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</si>
  <si>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</si>
  <si>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</si>
  <si>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</si>
  <si>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</si>
  <si>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</si>
  <si>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</si>
  <si>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</si>
  <si>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</si>
  <si>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</si>
  <si>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</si>
  <si>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</si>
  <si>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</si>
  <si>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</si>
  <si>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</si>
  <si>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</si>
  <si>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</si>
  <si>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</si>
  <si>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</si>
  <si>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</si>
  <si>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</si>
  <si>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</si>
  <si>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</si>
  <si>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</si>
  <si>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</si>
  <si>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</si>
  <si>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</si>
  <si>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</si>
  <si>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</si>
  <si>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</si>
  <si>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</si>
  <si>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</si>
  <si>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</si>
  <si>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</si>
  <si>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</si>
  <si>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</si>
  <si>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</si>
  <si>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</si>
  <si>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</si>
  <si>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</si>
  <si>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</si>
  <si>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</si>
  <si>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</si>
  <si>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</si>
  <si>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</si>
  <si>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</si>
  <si>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</si>
  <si>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</si>
  <si>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</si>
  <si>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</si>
  <si>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</si>
  <si>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</si>
  <si>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</si>
  <si>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</si>
  <si>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</si>
  <si>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</si>
  <si>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</si>
  <si>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</si>
  <si>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</si>
  <si>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</si>
  <si>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</si>
  <si>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</si>
  <si>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</si>
  <si>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</si>
  <si>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</si>
  <si>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</si>
  <si>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</si>
  <si>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</si>
  <si>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</si>
  <si>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</si>
  <si>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</si>
  <si>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</si>
  <si>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</si>
  <si>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</si>
  <si>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</si>
  <si>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</si>
  <si>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</si>
  <si>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</si>
  <si>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</si>
  <si>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</si>
  <si>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</si>
  <si>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</si>
  <si>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</si>
  <si>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</si>
  <si>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</si>
  <si>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</si>
  <si>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</si>
  <si>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</si>
  <si>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</si>
  <si>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</si>
  <si>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</si>
  <si>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</si>
  <si>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</si>
  <si>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</si>
  <si>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</si>
  <si>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</si>
  <si>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</si>
  <si>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</si>
  <si>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</si>
  <si>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</si>
  <si>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</si>
  <si>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</si>
  <si>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</si>
  <si>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</si>
  <si>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</si>
  <si>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</si>
  <si>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</si>
  <si>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</si>
  <si>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</si>
  <si>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</si>
  <si>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</si>
  <si>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</si>
  <si>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</si>
  <si>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</si>
  <si>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</si>
  <si>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</si>
  <si>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</si>
  <si>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</si>
  <si>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</si>
  <si>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</si>
  <si>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</si>
  <si>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</si>
  <si>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</si>
  <si>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</si>
  <si>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</si>
  <si>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</si>
  <si>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</si>
  <si>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</si>
  <si>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</si>
  <si>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</si>
  <si>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</si>
  <si>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</si>
  <si>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</si>
  <si>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</si>
  <si>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</si>
  <si>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</si>
  <si>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</si>
  <si>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</si>
  <si>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</si>
  <si>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</si>
  <si>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</si>
  <si>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</si>
  <si>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</si>
  <si>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</si>
  <si>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</si>
  <si>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</si>
  <si>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</si>
  <si>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</si>
  <si>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</si>
  <si>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</si>
  <si>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</si>
  <si>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</si>
  <si>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</si>
  <si>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</si>
  <si>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</si>
  <si>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</si>
  <si>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</si>
  <si>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</si>
  <si>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</si>
  <si>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</si>
  <si>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</si>
  <si>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</si>
  <si>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</si>
  <si>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</si>
  <si>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</si>
  <si>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</si>
  <si>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</si>
  <si>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</si>
  <si>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</si>
  <si>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</si>
  <si>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</si>
  <si>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</si>
  <si>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</si>
  <si>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</si>
  <si>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</si>
  <si>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</si>
  <si>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</si>
  <si>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</si>
  <si>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</si>
  <si>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</si>
  <si>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</si>
  <si>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</si>
  <si>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</si>
  <si>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</si>
  <si>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</si>
  <si>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</si>
  <si>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</si>
  <si>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</si>
  <si>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</si>
  <si>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</si>
  <si>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</si>
  <si>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</si>
  <si>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</si>
  <si>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</si>
  <si>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</si>
  <si>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</si>
  <si>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</si>
  <si>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</si>
  <si>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</si>
  <si>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</si>
  <si>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</si>
  <si>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</si>
  <si>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</si>
  <si>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</si>
  <si>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</si>
  <si>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</si>
  <si>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</si>
  <si>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</si>
  <si>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</si>
  <si>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</si>
  <si>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</si>
  <si>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</si>
  <si>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</si>
  <si>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</si>
  <si>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</si>
  <si>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</si>
  <si>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</si>
  <si>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</si>
  <si>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</si>
  <si>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</si>
  <si>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</si>
  <si>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</si>
  <si>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</si>
  <si>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</si>
  <si>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</si>
  <si>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</si>
  <si>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</si>
  <si>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</si>
  <si>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</si>
  <si>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</si>
  <si>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</si>
  <si>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</si>
  <si>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</si>
  <si>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</si>
  <si>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</si>
  <si>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</si>
  <si>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</si>
  <si>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</si>
  <si>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</si>
  <si>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</si>
  <si>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</si>
  <si>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</si>
  <si>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</si>
  <si>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</si>
  <si>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</si>
  <si>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</si>
  <si>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</si>
  <si>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</si>
  <si>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</si>
  <si>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</si>
  <si>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</si>
  <si>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</si>
  <si>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</si>
  <si>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</si>
  <si>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</si>
  <si>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</si>
  <si>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</si>
  <si>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</si>
  <si>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</si>
  <si>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</si>
  <si>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</si>
  <si>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</si>
  <si>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</si>
  <si>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</si>
  <si>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</si>
  <si>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</si>
  <si>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</si>
  <si>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</si>
  <si>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</si>
  <si>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</si>
  <si>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</si>
  <si>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</si>
  <si>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</si>
  <si>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</si>
  <si>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</si>
  <si>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</si>
  <si>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</si>
  <si>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</si>
  <si>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</si>
  <si>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</si>
  <si>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</si>
  <si>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</si>
  <si>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</si>
  <si>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</si>
  <si>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</si>
  <si>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</si>
  <si>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</si>
  <si>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</si>
  <si>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</si>
  <si>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</si>
  <si>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</si>
  <si>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</si>
  <si>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</si>
  <si>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</si>
  <si>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</si>
  <si>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</si>
  <si>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</si>
  <si>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</si>
  <si>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</si>
  <si>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</si>
  <si>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</si>
  <si>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</si>
  <si>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</si>
  <si>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</si>
  <si>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</si>
  <si>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</si>
  <si>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</si>
  <si>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</si>
  <si>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</si>
  <si>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</si>
  <si>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</si>
  <si>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</si>
  <si>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</si>
  <si>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</si>
  <si>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</si>
  <si>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</si>
  <si>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</si>
  <si>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</si>
  <si>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</si>
  <si>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</si>
  <si>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</si>
  <si>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</si>
  <si>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</si>
  <si>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</si>
  <si>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</si>
  <si>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</si>
  <si>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</si>
  <si>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</si>
  <si>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</si>
  <si>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</si>
  <si>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</si>
  <si>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</si>
  <si>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</si>
  <si>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</si>
  <si>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</si>
  <si>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</si>
  <si>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</si>
  <si>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</si>
  <si>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</si>
  <si>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</si>
  <si>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</si>
  <si>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</si>
  <si>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</si>
  <si>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</si>
  <si>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</si>
  <si>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</si>
  <si>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</si>
  <si>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</si>
  <si>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</si>
  <si>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</si>
  <si>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</si>
  <si>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</si>
  <si>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</si>
  <si>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</si>
  <si>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</si>
  <si>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</si>
  <si>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</si>
  <si>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</si>
  <si>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</si>
  <si>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</si>
  <si>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</si>
  <si>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</si>
  <si>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</si>
  <si>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</si>
  <si>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</si>
  <si>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</si>
  <si>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</si>
  <si>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</si>
  <si>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</si>
  <si>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</si>
  <si>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</si>
  <si>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</si>
  <si>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</si>
  <si>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</si>
  <si>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</si>
  <si>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</si>
  <si>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</si>
  <si>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</si>
  <si>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</si>
  <si>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</si>
  <si>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</si>
  <si>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</si>
  <si>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</si>
  <si>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</si>
  <si>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</si>
  <si>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</si>
  <si>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</si>
  <si>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</si>
  <si>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</si>
  <si>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</si>
  <si>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</si>
  <si>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</si>
  <si>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</si>
  <si>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</si>
  <si>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</si>
  <si>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</si>
  <si>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</si>
  <si>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</si>
  <si>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</si>
  <si>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</si>
  <si>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</si>
  <si>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</si>
  <si>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</si>
  <si>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</si>
  <si>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</si>
  <si>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</si>
  <si>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</si>
  <si>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</si>
  <si>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</si>
  <si>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</si>
  <si>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</si>
  <si>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</si>
  <si>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</si>
  <si>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</si>
  <si>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</si>
  <si>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</si>
  <si>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</si>
  <si>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</si>
  <si>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</si>
  <si>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</si>
  <si>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</si>
  <si>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</si>
  <si>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</si>
  <si>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</si>
  <si>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</si>
  <si>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</si>
  <si>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</si>
  <si>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</si>
  <si>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</si>
  <si>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</si>
  <si>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</si>
  <si>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</si>
  <si>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</si>
  <si>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</si>
  <si>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</si>
  <si>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</si>
  <si>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</si>
  <si>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</si>
  <si>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</si>
  <si>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</si>
  <si>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</si>
  <si>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</si>
  <si>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</si>
  <si>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</si>
  <si>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</si>
  <si>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</si>
  <si>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</si>
  <si>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</si>
  <si>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</si>
  <si>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</si>
  <si>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</si>
  <si>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</si>
  <si>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</si>
  <si>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</si>
  <si>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</si>
  <si>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</si>
  <si>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</si>
  <si>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</si>
  <si>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</si>
  <si>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</si>
  <si>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</si>
  <si>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</si>
  <si>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</si>
  <si>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</si>
  <si>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</si>
  <si>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</si>
  <si>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</si>
  <si>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</si>
  <si>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</si>
  <si>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</si>
  <si>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</si>
  <si>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</si>
  <si>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</si>
  <si>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</si>
  <si>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</si>
  <si>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</si>
  <si>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</si>
  <si>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</si>
  <si>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</si>
  <si>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</si>
  <si>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</si>
  <si>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</si>
  <si>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</si>
  <si>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</si>
  <si>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</si>
  <si>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</si>
  <si>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</si>
  <si>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</si>
  <si>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</si>
  <si>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</si>
  <si>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</si>
  <si>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</si>
  <si>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</si>
  <si>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</si>
  <si>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</si>
  <si>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</si>
  <si>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</si>
  <si>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</si>
  <si>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</si>
  <si>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</si>
  <si>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</si>
  <si>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</si>
  <si>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</si>
  <si>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</si>
  <si>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</si>
  <si>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</si>
  <si>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</si>
  <si>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</si>
  <si>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</si>
  <si>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</si>
  <si>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</si>
  <si>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</si>
  <si>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</si>
  <si>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</si>
  <si>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</si>
  <si>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</si>
  <si>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</si>
  <si>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</si>
  <si>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</si>
  <si>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</si>
  <si>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</si>
  <si>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</si>
  <si>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</si>
  <si>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</si>
  <si>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</si>
  <si>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</si>
  <si>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</si>
  <si>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</si>
  <si>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</si>
  <si>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</si>
  <si>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</si>
  <si>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</si>
  <si>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</si>
  <si>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</si>
  <si>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</si>
  <si>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</si>
  <si>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</si>
  <si>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</si>
  <si>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</si>
  <si>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</si>
  <si>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</si>
  <si>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</si>
  <si>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</si>
  <si>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</si>
  <si>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</si>
  <si>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</si>
  <si>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</si>
  <si>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</si>
  <si>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</si>
  <si>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</si>
  <si>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</si>
  <si>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</si>
  <si>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</si>
  <si>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</si>
  <si>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</si>
  <si>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</si>
  <si>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</si>
  <si>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</si>
  <si>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</si>
  <si>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</si>
  <si>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</si>
  <si>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</si>
  <si>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</si>
  <si>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</si>
  <si>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</si>
  <si>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</si>
  <si>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</si>
  <si>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</si>
  <si>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</si>
  <si>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</si>
  <si>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</si>
  <si>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</si>
  <si>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</si>
  <si>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</si>
  <si>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</si>
  <si>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</si>
  <si>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</si>
  <si>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</si>
  <si>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</si>
  <si>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</si>
  <si>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</si>
  <si>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</si>
  <si>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</si>
  <si>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</si>
  <si>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</si>
  <si>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</si>
  <si>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</si>
  <si>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</si>
  <si>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</si>
  <si>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</si>
  <si>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</si>
  <si>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</si>
  <si>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</si>
  <si>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</si>
  <si>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</si>
  <si>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</si>
  <si>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</si>
  <si>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</si>
  <si>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</si>
  <si>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</si>
  <si>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</si>
  <si>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</si>
  <si>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</si>
  <si>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</si>
  <si>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</si>
  <si>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</si>
  <si>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</si>
  <si>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</si>
  <si>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</si>
  <si>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</si>
  <si>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</si>
  <si>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</si>
  <si>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</si>
  <si>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</si>
  <si>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</si>
  <si>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</si>
  <si>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</si>
  <si>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</si>
  <si>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</si>
  <si>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</si>
  <si>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</si>
  <si>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</si>
  <si>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</si>
  <si>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</si>
  <si>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</si>
  <si>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</si>
  <si>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</si>
  <si>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</si>
  <si>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</si>
  <si>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</si>
  <si>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</si>
  <si>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</si>
  <si>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</si>
  <si>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</si>
  <si>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</si>
  <si>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</si>
  <si>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</si>
  <si>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</si>
  <si>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</si>
  <si>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</si>
  <si>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</si>
  <si>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</si>
  <si>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</si>
  <si>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</si>
  <si>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</si>
  <si>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</si>
  <si>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</si>
  <si>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</si>
  <si>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</si>
  <si>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</si>
  <si>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</si>
  <si>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</si>
  <si>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</si>
  <si>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</si>
  <si>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</si>
  <si>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</si>
  <si>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</si>
  <si>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</si>
  <si>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</si>
  <si>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</si>
  <si>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</si>
  <si>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</si>
  <si>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</si>
  <si>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</si>
  <si>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</si>
  <si>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</si>
  <si>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</si>
  <si>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</si>
  <si>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</si>
  <si>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</si>
  <si>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</si>
  <si>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</si>
  <si>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</si>
  <si>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</si>
  <si>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</si>
  <si>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</si>
  <si>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</si>
  <si>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</si>
  <si>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</si>
  <si>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</si>
  <si>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</si>
  <si>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</si>
  <si>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</si>
  <si>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</si>
  <si>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</si>
  <si>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</si>
  <si>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</si>
  <si>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</si>
  <si>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</si>
  <si>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</si>
  <si>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</si>
  <si>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</si>
  <si>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</si>
  <si>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</si>
  <si>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</si>
  <si>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</si>
  <si>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</si>
  <si>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</si>
  <si>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</si>
  <si>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</si>
  <si>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</si>
  <si>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</si>
  <si>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</si>
  <si>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</si>
  <si>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</si>
  <si>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</si>
  <si>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</si>
  <si>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</si>
  <si>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</si>
  <si>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</si>
  <si>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</si>
  <si>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</si>
  <si>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</si>
  <si>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</si>
  <si>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</si>
  <si>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</si>
  <si>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</si>
  <si>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</si>
  <si>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</si>
  <si>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</si>
  <si>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</si>
  <si>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</si>
  <si>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</si>
  <si>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</si>
  <si>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</si>
  <si>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</si>
  <si>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</si>
  <si>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</si>
  <si>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</si>
  <si>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</si>
  <si>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</si>
  <si>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</si>
  <si>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</si>
  <si>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</si>
  <si>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</si>
  <si>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</si>
  <si>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</si>
  <si>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</si>
  <si>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</si>
  <si>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</si>
  <si>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</si>
  <si>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</si>
  <si>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</si>
  <si>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</si>
  <si>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</si>
  <si>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</si>
  <si>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</si>
  <si>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</si>
  <si>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</si>
  <si>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</si>
  <si>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</si>
  <si>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</si>
  <si>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</si>
  <si>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</si>
  <si>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</si>
  <si>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</si>
  <si>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</si>
  <si>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</si>
  <si>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</si>
  <si>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</si>
  <si>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</si>
  <si>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</si>
  <si>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</si>
  <si>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</si>
  <si>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</si>
  <si>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</si>
  <si>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</si>
  <si>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</si>
  <si>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</si>
  <si>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</si>
  <si>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</si>
  <si>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</si>
  <si>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</si>
  <si>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</si>
  <si>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</si>
  <si>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</si>
  <si>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</si>
  <si>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</si>
  <si>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</si>
  <si>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</si>
  <si>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</si>
  <si>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</si>
  <si>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</si>
  <si>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</si>
  <si>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</si>
  <si>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</si>
  <si>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</si>
  <si>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</si>
  <si>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</si>
  <si>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</si>
  <si>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</si>
  <si>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</si>
  <si>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</si>
  <si>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</si>
  <si>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</si>
  <si>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</si>
  <si>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</si>
  <si>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</si>
  <si>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</si>
  <si>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</si>
  <si>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</si>
  <si>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</si>
  <si>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</si>
  <si>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</si>
  <si>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</si>
  <si>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</si>
  <si>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</si>
  <si>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</si>
  <si>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</si>
  <si>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</si>
  <si>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</si>
  <si>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</si>
  <si>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</si>
  <si>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</si>
  <si>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</si>
  <si>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</si>
  <si>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</si>
  <si>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</si>
  <si>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</si>
  <si>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</si>
  <si>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</si>
  <si>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</si>
  <si>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</si>
  <si>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</si>
  <si>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</si>
  <si>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</si>
  <si>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</si>
  <si>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</si>
  <si>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</si>
  <si>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</si>
  <si>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</si>
  <si>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</si>
  <si>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</si>
  <si>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</si>
  <si>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</si>
  <si>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</si>
  <si>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</si>
  <si>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</si>
  <si>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</si>
  <si>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</si>
  <si>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</si>
  <si>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</si>
  <si>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</si>
  <si>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</si>
  <si>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</si>
  <si>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</si>
  <si>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</si>
  <si>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</si>
  <si>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</si>
  <si>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</si>
  <si>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</si>
  <si>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</si>
  <si>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</si>
  <si>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</si>
  <si>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</si>
  <si>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</si>
  <si>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</si>
  <si>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</si>
  <si>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</si>
  <si>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</si>
  <si>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</si>
  <si>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</si>
  <si>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</si>
  <si>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</si>
  <si>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</si>
  <si>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</si>
  <si>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</si>
  <si>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</si>
  <si>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</si>
  <si>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</si>
  <si>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</si>
  <si>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</si>
  <si>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</si>
  <si>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</si>
  <si>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</si>
  <si>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</si>
  <si>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</si>
  <si>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</si>
  <si>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</si>
  <si>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</si>
  <si>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</si>
  <si>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</si>
  <si>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</si>
  <si>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</si>
  <si>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</si>
  <si>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</si>
  <si>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</si>
  <si>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</si>
  <si>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</si>
  <si>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</si>
  <si>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</si>
  <si>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</si>
  <si>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</si>
  <si>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</si>
  <si>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</si>
  <si>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</si>
  <si>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</si>
  <si>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</si>
  <si>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</si>
  <si>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</si>
  <si>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</si>
  <si>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</si>
  <si>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</si>
  <si>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</si>
  <si>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</si>
  <si>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</si>
  <si>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</si>
  <si>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</si>
  <si>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</si>
  <si>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</si>
  <si>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</si>
  <si>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</si>
  <si>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</si>
  <si>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</si>
  <si>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</si>
  <si>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</si>
  <si>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</si>
  <si>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</si>
  <si>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</si>
  <si>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</si>
  <si>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</si>
  <si>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</si>
  <si>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</si>
  <si>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</si>
  <si>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</si>
  <si>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</si>
  <si>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</si>
  <si>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</si>
  <si>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</si>
  <si>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</si>
  <si>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</si>
  <si>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</si>
  <si>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</si>
  <si>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</si>
  <si>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</si>
  <si>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</si>
  <si>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</si>
  <si>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</si>
  <si>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</si>
  <si>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</si>
  <si>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</si>
  <si>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</si>
  <si>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</si>
  <si>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</si>
  <si>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</si>
  <si>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</si>
  <si>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</si>
  <si>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</si>
  <si>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</si>
  <si>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</si>
  <si>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</si>
  <si>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</si>
  <si>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</si>
  <si>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</si>
  <si>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</si>
  <si>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</si>
  <si>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</si>
  <si>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</si>
  <si>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</si>
  <si>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</si>
  <si>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</si>
  <si>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</si>
  <si>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</si>
  <si>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</si>
  <si>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</si>
  <si>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</si>
  <si>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</si>
  <si>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</si>
  <si>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</si>
  <si>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</si>
  <si>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</si>
  <si>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</si>
  <si>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</si>
  <si>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</si>
  <si>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</si>
  <si>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</si>
  <si>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</si>
  <si>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</si>
  <si>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</si>
  <si>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</si>
  <si>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</si>
  <si>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</si>
  <si>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</si>
  <si>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</si>
  <si>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</si>
  <si>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</si>
  <si>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</si>
  <si>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</si>
  <si>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</si>
  <si>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</si>
  <si>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</si>
  <si>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</si>
  <si>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</si>
  <si>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</si>
  <si>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</si>
  <si>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</si>
  <si>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</si>
  <si>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</si>
  <si>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</si>
  <si>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</si>
  <si>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</si>
  <si>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</si>
  <si>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</si>
  <si>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</si>
  <si>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</si>
  <si>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</si>
  <si>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</si>
  <si>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</si>
  <si>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</si>
  <si>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</si>
  <si>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</si>
  <si>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</si>
  <si>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</si>
  <si>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</si>
  <si>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</si>
  <si>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</si>
  <si>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</si>
  <si>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</si>
  <si>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</si>
  <si>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</si>
  <si>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</si>
  <si>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</si>
  <si>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</si>
  <si>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</si>
  <si>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</si>
  <si>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</si>
  <si>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</si>
  <si>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</si>
  <si>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</si>
  <si>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</si>
  <si>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</si>
  <si>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</si>
  <si>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</si>
  <si>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</si>
  <si>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</si>
  <si>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</si>
  <si>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</si>
  <si>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</si>
  <si>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</si>
  <si>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</si>
  <si>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</si>
  <si>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</si>
  <si>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</si>
  <si>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</si>
  <si>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</si>
  <si>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</si>
  <si>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</si>
  <si>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</si>
  <si>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</si>
  <si>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</si>
  <si>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</si>
  <si>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</si>
  <si>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</si>
  <si>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</si>
  <si>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</si>
  <si>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</si>
  <si>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</si>
  <si>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</si>
  <si>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</si>
  <si>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</si>
  <si>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</si>
  <si>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</si>
  <si>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</si>
  <si>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</si>
  <si>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</si>
  <si>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</si>
  <si>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</si>
  <si>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</si>
  <si>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</si>
  <si>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</si>
  <si>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</si>
  <si>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</si>
  <si>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</si>
  <si>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</si>
  <si>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</si>
  <si>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</si>
  <si>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</si>
  <si>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</si>
  <si>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</si>
  <si>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</si>
  <si>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</si>
  <si>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</si>
  <si>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</si>
  <si>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</si>
  <si>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</si>
  <si>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</si>
  <si>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</si>
  <si>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</si>
  <si>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</si>
  <si>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</si>
  <si>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</si>
  <si>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</si>
  <si>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</si>
  <si>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</si>
  <si>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</si>
  <si>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</si>
  <si>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</si>
  <si>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</si>
  <si>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</si>
  <si>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</si>
  <si>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</si>
  <si>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</si>
  <si>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</si>
  <si>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</si>
  <si>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</si>
  <si>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</si>
  <si>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</si>
  <si>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</si>
  <si>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</si>
  <si>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</si>
  <si>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</si>
  <si>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</si>
  <si>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</si>
  <si>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</si>
  <si>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</si>
  <si>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</si>
  <si>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</si>
  <si>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</si>
  <si>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</si>
  <si>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</si>
  <si>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</si>
  <si>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</si>
  <si>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</si>
  <si>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</si>
  <si>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</si>
  <si>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</si>
  <si>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</si>
  <si>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</si>
  <si>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</si>
  <si>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</si>
  <si>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</si>
  <si>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</si>
  <si>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</si>
  <si>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</si>
  <si>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</si>
  <si>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</si>
  <si>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</si>
  <si>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</si>
  <si>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</si>
  <si>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</si>
  <si>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</si>
  <si>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</si>
  <si>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</si>
  <si>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</si>
  <si>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</si>
  <si>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</si>
  <si>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</si>
  <si>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</si>
  <si>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</si>
  <si>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</si>
  <si>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</si>
  <si>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</si>
  <si>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</si>
  <si>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</si>
  <si>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</si>
  <si>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</si>
  <si>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</si>
  <si>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</si>
  <si>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</si>
  <si>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</si>
  <si>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</si>
  <si>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</si>
  <si>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</si>
  <si>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</si>
  <si>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</si>
  <si>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</si>
  <si>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</si>
  <si>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</si>
  <si>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</si>
  <si>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</si>
  <si>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</si>
  <si>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</si>
  <si>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</si>
  <si>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</si>
  <si>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</si>
  <si>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</si>
  <si>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</si>
  <si>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</si>
  <si>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</si>
  <si>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</si>
  <si>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</si>
  <si>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</si>
  <si>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</si>
  <si>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</si>
  <si>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</si>
  <si>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</si>
  <si>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</si>
  <si>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</si>
  <si>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</si>
  <si>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</si>
  <si>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</si>
  <si>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</si>
  <si>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</si>
  <si>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</si>
  <si>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</si>
  <si>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</si>
  <si>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</si>
  <si>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</si>
  <si>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</si>
  <si>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</si>
  <si>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</si>
  <si>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</si>
  <si>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</si>
  <si>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</si>
  <si>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</si>
  <si>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</si>
  <si>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</si>
  <si>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</si>
  <si>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</si>
  <si>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</si>
  <si>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</si>
  <si>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</si>
  <si>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</si>
  <si>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</si>
  <si>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</si>
  <si>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</si>
  <si>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</si>
  <si>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</si>
  <si>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</si>
  <si>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</si>
  <si>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</si>
  <si>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</si>
  <si>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</si>
  <si>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</si>
  <si>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</si>
  <si>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</si>
  <si>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</si>
  <si>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</si>
  <si>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</si>
  <si>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</si>
  <si>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</si>
  <si>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</si>
  <si>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</si>
  <si>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</si>
  <si>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</si>
  <si>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</si>
  <si>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</si>
  <si>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</si>
  <si>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</si>
  <si>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</si>
  <si>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</si>
  <si>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</si>
  <si>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</si>
  <si>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</si>
  <si>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</si>
  <si>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</si>
  <si>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</si>
  <si>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</si>
  <si>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</si>
  <si>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</si>
  <si>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</si>
  <si>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</si>
  <si>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</si>
  <si>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</si>
  <si>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</si>
  <si>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</si>
  <si>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</si>
  <si>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</si>
  <si>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</si>
  <si>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</si>
  <si>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</si>
  <si>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</si>
  <si>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</si>
  <si>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</si>
  <si>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</si>
  <si>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</si>
  <si>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</si>
  <si>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</si>
  <si>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</si>
  <si>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</si>
  <si>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</si>
  <si>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</si>
  <si>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</si>
  <si>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</si>
  <si>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</si>
  <si>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</si>
  <si>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</si>
  <si>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</si>
  <si>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</si>
  <si>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</si>
  <si>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</si>
  <si>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</si>
  <si>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</si>
  <si>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</si>
  <si>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</si>
  <si>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</si>
  <si>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</si>
  <si>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</si>
  <si>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</si>
  <si>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</si>
  <si>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</si>
  <si>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</si>
  <si>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</si>
  <si>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</si>
  <si>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</si>
  <si>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</si>
  <si>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</si>
  <si>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</si>
  <si>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</si>
  <si>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</si>
  <si>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</si>
  <si>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</si>
  <si>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</si>
  <si>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</si>
  <si>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</si>
  <si>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</si>
  <si>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</si>
  <si>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</si>
  <si>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</si>
  <si>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</si>
  <si>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</si>
  <si>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</si>
  <si>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</si>
  <si>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</si>
  <si>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</si>
  <si>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</si>
  <si>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</si>
  <si>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</si>
  <si>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</si>
  <si>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</si>
  <si>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</si>
  <si>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</si>
  <si>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</si>
  <si>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</si>
  <si>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</si>
  <si>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</si>
  <si>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</si>
  <si>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</si>
  <si>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</si>
  <si>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</si>
  <si>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</si>
  <si>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</si>
  <si>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</si>
  <si>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</si>
  <si>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</si>
  <si>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</si>
  <si>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</si>
  <si>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</si>
  <si>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</si>
  <si>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</si>
  <si>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</si>
  <si>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</si>
  <si>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</si>
  <si>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</si>
  <si>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</si>
  <si>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</si>
  <si>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</si>
  <si>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</si>
  <si>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</si>
  <si>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</si>
  <si>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</si>
  <si>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</si>
  <si>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</si>
  <si>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</si>
  <si>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</si>
  <si>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</si>
  <si>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</si>
  <si>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</si>
  <si>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</si>
  <si>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</si>
  <si>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</si>
  <si>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</si>
  <si>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</si>
  <si>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</si>
  <si>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</si>
  <si>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</si>
  <si>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</si>
  <si>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</si>
  <si>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</si>
  <si>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</si>
  <si>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</si>
  <si>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</si>
  <si>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</si>
  <si>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</si>
  <si>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</si>
  <si>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</si>
  <si>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</si>
  <si>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</si>
  <si>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</si>
  <si>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</si>
  <si>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</si>
  <si>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</si>
  <si>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</si>
  <si>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</si>
  <si>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</si>
  <si>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</si>
  <si>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</si>
  <si>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</si>
  <si>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</si>
  <si>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</si>
  <si>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</si>
  <si>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</si>
  <si>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</si>
  <si>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</si>
  <si>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</si>
  <si>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</si>
  <si>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</si>
  <si>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</si>
  <si>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</si>
  <si>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</si>
  <si>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</si>
  <si>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</si>
  <si>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</si>
  <si>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</si>
  <si>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</si>
  <si>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</si>
  <si>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</si>
  <si>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</si>
  <si>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</si>
  <si>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</si>
  <si>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</si>
  <si>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</si>
  <si>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</si>
  <si>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</si>
  <si>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</si>
  <si>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</si>
  <si>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</si>
  <si>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</si>
  <si>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</si>
  <si>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</si>
  <si>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</si>
  <si>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</si>
  <si>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</si>
  <si>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</si>
  <si>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</si>
  <si>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</si>
  <si>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</si>
  <si>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</si>
  <si>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</si>
  <si>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</si>
  <si>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</si>
  <si>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</si>
  <si>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</si>
  <si>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</si>
  <si>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</si>
  <si>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</si>
  <si>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</si>
  <si>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</si>
  <si>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</si>
  <si>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</si>
  <si>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</si>
  <si>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</si>
  <si>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</si>
  <si>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</si>
  <si>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</si>
  <si>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</si>
  <si>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</si>
  <si>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</si>
  <si>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</si>
  <si>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</si>
  <si>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</si>
  <si>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</si>
  <si>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</si>
  <si>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</si>
  <si>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</si>
  <si>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</si>
  <si>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</si>
  <si>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</si>
  <si>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</si>
  <si>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</si>
  <si>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</si>
  <si>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</si>
  <si>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</si>
  <si>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</si>
  <si>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</si>
  <si>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</si>
  <si>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</si>
  <si>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</si>
  <si>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</si>
  <si>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</si>
  <si>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</si>
  <si>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</si>
  <si>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</si>
  <si>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</si>
  <si>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</si>
  <si>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</si>
  <si>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</si>
  <si>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</si>
  <si>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</si>
  <si>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</si>
  <si>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</si>
  <si>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</si>
  <si>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</si>
  <si>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</si>
  <si>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</si>
  <si>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</si>
  <si>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</si>
  <si>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</si>
  <si>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</si>
  <si>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</si>
  <si>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</si>
  <si>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</si>
  <si>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</si>
  <si>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</si>
  <si>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</si>
  <si>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</si>
  <si>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</si>
  <si>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</si>
  <si>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</si>
  <si>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</si>
  <si>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</si>
  <si>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</si>
  <si>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</si>
  <si>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</si>
  <si>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</si>
  <si>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</si>
  <si>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</si>
  <si>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</si>
  <si>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</si>
  <si>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</si>
  <si>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</si>
  <si>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</si>
  <si>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</si>
  <si>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</si>
  <si>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</si>
  <si>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</si>
  <si>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</si>
  <si>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</si>
  <si>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</si>
  <si>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</si>
  <si>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</si>
  <si>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</si>
  <si>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</si>
  <si>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</si>
  <si>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</si>
  <si>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</si>
  <si>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</si>
  <si>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</si>
  <si>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</si>
  <si>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</si>
  <si>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</si>
  <si>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</si>
  <si>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</si>
  <si>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</si>
  <si>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</si>
  <si>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</si>
  <si>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</si>
  <si>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</si>
  <si>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</si>
  <si>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</si>
  <si>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</si>
  <si>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</si>
  <si>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</si>
  <si>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</si>
  <si>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</si>
  <si>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</si>
  <si>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</si>
  <si>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</si>
  <si>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</si>
  <si>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</si>
  <si>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</si>
  <si>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</si>
  <si>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</si>
  <si>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</si>
  <si>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</si>
  <si>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</si>
  <si>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</si>
  <si>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</si>
  <si>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</si>
  <si>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</si>
  <si>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</si>
  <si>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</si>
  <si>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</si>
  <si>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</si>
  <si>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</si>
  <si>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</si>
  <si>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</si>
  <si>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</si>
  <si>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</si>
  <si>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</si>
  <si>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</si>
  <si>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</si>
  <si>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</si>
  <si>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</si>
  <si>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</si>
  <si>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</si>
  <si>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</si>
  <si>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</si>
  <si>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</si>
  <si>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</si>
  <si>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</si>
  <si>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</si>
  <si>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</si>
  <si>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</si>
  <si>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</si>
  <si>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</si>
  <si>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</si>
  <si>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</si>
  <si>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</si>
  <si>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</si>
  <si>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</si>
  <si>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</si>
  <si>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</si>
  <si>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</si>
  <si>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</si>
  <si>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</si>
  <si>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</si>
  <si>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</si>
  <si>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</si>
  <si>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</si>
  <si>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</si>
  <si>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</si>
  <si>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</si>
  <si>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</si>
  <si>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</si>
  <si>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</si>
  <si>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</si>
  <si>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</si>
  <si>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</si>
  <si>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</si>
  <si>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</si>
  <si>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</si>
  <si>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</si>
  <si>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</si>
  <si>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</si>
  <si>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</si>
  <si>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</si>
  <si>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</si>
  <si>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</si>
  <si>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</si>
  <si>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</si>
  <si>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</si>
  <si>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</si>
  <si>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</si>
  <si>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</si>
  <si>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</si>
  <si>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</si>
  <si>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</si>
  <si>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</si>
  <si>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</si>
  <si>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</si>
  <si>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</si>
  <si>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</si>
  <si>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</si>
  <si>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</si>
  <si>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</si>
  <si>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</si>
  <si>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</si>
  <si>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</si>
  <si>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</si>
  <si>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</si>
  <si>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</si>
  <si>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</si>
  <si>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</si>
  <si>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</si>
  <si>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</si>
  <si>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</si>
  <si>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</si>
  <si>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</si>
  <si>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</si>
  <si>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</si>
  <si>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</si>
  <si>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</si>
  <si>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</si>
  <si>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</si>
  <si>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</si>
  <si>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</si>
  <si>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</si>
  <si>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</si>
  <si>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</si>
  <si>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</si>
  <si>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</si>
  <si>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</si>
  <si>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</si>
  <si>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</si>
  <si>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</si>
  <si>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</si>
  <si>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</si>
  <si>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</si>
  <si>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</si>
  <si>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</si>
  <si>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</si>
  <si>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</si>
  <si>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</si>
  <si>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</si>
  <si>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</si>
  <si>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</si>
  <si>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</si>
  <si>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</si>
  <si>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</si>
  <si>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</si>
  <si>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</si>
  <si>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</si>
  <si>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</si>
  <si>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</si>
  <si>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</si>
  <si>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</si>
  <si>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</si>
  <si>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</si>
  <si>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</si>
  <si>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</si>
  <si>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</si>
  <si>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</si>
  <si>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</si>
  <si>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</si>
  <si>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</si>
  <si>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</si>
  <si>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</si>
  <si>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</si>
  <si>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</si>
  <si>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</si>
  <si>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</si>
  <si>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</si>
  <si>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</si>
  <si>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</si>
  <si>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</si>
  <si>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</si>
  <si>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</si>
  <si>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</si>
  <si>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</si>
  <si>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</si>
  <si>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</si>
  <si>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</si>
  <si>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</si>
  <si>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</si>
  <si>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</si>
  <si>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</si>
  <si>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</si>
  <si>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</si>
  <si>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</si>
  <si>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</si>
  <si>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</si>
  <si>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</si>
  <si>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</si>
  <si>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</si>
  <si>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</si>
  <si>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</si>
  <si>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</si>
  <si>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</si>
  <si>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</si>
  <si>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</si>
  <si>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</si>
  <si>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</si>
  <si>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</si>
  <si>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</si>
  <si>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</si>
  <si>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</si>
  <si>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</si>
  <si>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</si>
  <si>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</si>
  <si>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</si>
  <si>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</si>
  <si>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</si>
  <si>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</si>
  <si>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</si>
  <si>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</si>
  <si>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</si>
  <si>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</si>
  <si>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</si>
  <si>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</si>
  <si>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</si>
  <si>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</si>
  <si>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</si>
  <si>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</si>
  <si>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</si>
  <si>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</si>
  <si>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</si>
  <si>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</si>
  <si>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</si>
  <si>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</si>
  <si>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</si>
  <si>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</si>
  <si>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</si>
  <si>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</si>
  <si>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</si>
  <si>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</si>
  <si>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</si>
  <si>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</si>
  <si>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</si>
  <si>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</si>
  <si>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</si>
  <si>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</si>
  <si>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</si>
  <si>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</si>
  <si>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</si>
  <si>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</si>
  <si>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</si>
  <si>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</si>
  <si>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</si>
  <si>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</si>
  <si>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</si>
  <si>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</si>
  <si>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</si>
  <si>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</si>
  <si>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</si>
  <si>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</si>
  <si>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</si>
  <si>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</si>
  <si>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</si>
  <si>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</si>
  <si>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</si>
  <si>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</si>
  <si>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</si>
  <si>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</si>
  <si>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</si>
  <si>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</si>
  <si>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</si>
  <si>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</si>
  <si>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</si>
  <si>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</si>
  <si>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</si>
  <si>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</si>
  <si>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</si>
  <si>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</si>
  <si>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</si>
  <si>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</si>
  <si>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</si>
  <si>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</si>
  <si>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</si>
  <si>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</si>
  <si>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</si>
  <si>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</si>
  <si>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</si>
  <si>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</si>
  <si>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</si>
  <si>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</si>
  <si>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</si>
  <si>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</si>
  <si>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</si>
  <si>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</si>
  <si>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</si>
  <si>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</si>
  <si>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</si>
  <si>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</si>
  <si>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</si>
  <si>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</si>
  <si>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</si>
  <si>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</si>
  <si>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</si>
  <si>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</si>
  <si>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</si>
  <si>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</si>
  <si>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</si>
  <si>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</si>
  <si>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</si>
  <si>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</si>
  <si>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</si>
  <si>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</si>
  <si>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</si>
  <si>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</si>
  <si>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</si>
  <si>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</si>
  <si>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</si>
  <si>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</si>
  <si>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</si>
  <si>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</si>
  <si>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</si>
  <si>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</si>
  <si>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</si>
  <si>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</si>
  <si>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</si>
  <si>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</si>
  <si>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</si>
  <si>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</si>
  <si>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</si>
  <si>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</si>
  <si>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</si>
  <si>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</si>
  <si>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</si>
  <si>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</si>
  <si>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</si>
  <si>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</si>
  <si>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</si>
  <si>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</si>
  <si>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</si>
  <si>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</si>
  <si>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</si>
  <si>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</si>
  <si>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</si>
  <si>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</si>
  <si>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</si>
  <si>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</si>
  <si>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</si>
  <si>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</si>
  <si>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</si>
  <si>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</si>
  <si>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</si>
  <si>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</si>
  <si>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</si>
  <si>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</si>
  <si>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</si>
  <si>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</si>
  <si>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</si>
  <si>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</si>
  <si>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</si>
  <si>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</si>
  <si>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</si>
  <si>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</si>
  <si>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</si>
  <si>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</si>
  <si>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</si>
  <si>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</si>
  <si>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</si>
  <si>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</si>
  <si>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</si>
  <si>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</si>
  <si>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</si>
  <si>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</si>
  <si>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</si>
  <si>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</si>
  <si>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</si>
  <si>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</si>
  <si>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</si>
  <si>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</si>
  <si>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</si>
  <si>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</si>
  <si>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</si>
  <si>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</si>
  <si>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</si>
  <si>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</si>
  <si>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</si>
  <si>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</si>
  <si>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</si>
  <si>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</si>
  <si>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</si>
  <si>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</si>
  <si>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</si>
  <si>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</si>
  <si>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</si>
  <si>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</si>
  <si>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</si>
  <si>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</si>
  <si>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</si>
  <si>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</si>
  <si>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</si>
  <si>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</si>
  <si>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</si>
  <si>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</si>
  <si>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</si>
  <si>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</si>
  <si>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</si>
  <si>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</si>
  <si>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</si>
  <si>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</si>
  <si>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</si>
  <si>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</si>
  <si>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</si>
  <si>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</si>
  <si>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</si>
  <si>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</si>
  <si>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</si>
  <si>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</si>
  <si>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</si>
  <si>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</si>
  <si>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</si>
  <si>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</si>
  <si>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</si>
  <si>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</si>
  <si>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</si>
  <si>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</si>
  <si>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</si>
  <si>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</si>
  <si>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</si>
  <si>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</si>
  <si>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</si>
  <si>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</si>
  <si>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</si>
  <si>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</si>
  <si>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</si>
  <si>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</si>
  <si>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</si>
  <si>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</si>
  <si>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</si>
  <si>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</si>
  <si>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</si>
  <si>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</si>
  <si>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</si>
  <si>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</si>
  <si>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</si>
  <si>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</si>
  <si>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</si>
  <si>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</si>
  <si>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</si>
  <si>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</si>
  <si>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</si>
  <si>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</si>
  <si>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</si>
  <si>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</si>
  <si>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</si>
  <si>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</si>
  <si>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</si>
  <si>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</si>
  <si>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</si>
  <si>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</si>
  <si>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</si>
  <si>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</si>
  <si>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</si>
  <si>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</si>
  <si>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</si>
  <si>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</si>
  <si>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</si>
  <si>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</si>
  <si>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</si>
  <si>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</si>
  <si>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</si>
  <si>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</si>
  <si>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</si>
  <si>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</si>
  <si>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</si>
  <si>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</si>
  <si>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</si>
  <si>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</si>
  <si>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</si>
  <si>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</si>
  <si>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</si>
  <si>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</si>
  <si>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</si>
  <si>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</si>
  <si>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</si>
  <si>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</si>
  <si>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</si>
  <si>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</si>
  <si>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</si>
  <si>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</si>
  <si>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</si>
  <si>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</si>
  <si>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</si>
  <si>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</si>
  <si>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</si>
  <si>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</si>
  <si>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</si>
  <si>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</si>
  <si>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</si>
  <si>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</si>
  <si>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</si>
  <si>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</si>
  <si>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</si>
  <si>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</si>
  <si>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</si>
  <si>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</si>
  <si>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</si>
  <si>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</si>
  <si>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</si>
  <si>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</si>
  <si>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</si>
  <si>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</si>
  <si>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</si>
  <si>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</si>
  <si>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</si>
  <si>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</si>
  <si>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</si>
  <si>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</si>
  <si>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</si>
  <si>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</si>
  <si>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</si>
  <si>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</si>
  <si>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</si>
  <si>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</si>
  <si>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</si>
  <si>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</si>
  <si>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</si>
  <si>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</si>
  <si>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</si>
  <si>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</si>
  <si>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</si>
  <si>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</si>
  <si>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</si>
  <si>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</si>
  <si>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</si>
  <si>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</si>
  <si>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</si>
  <si>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</si>
  <si>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</si>
  <si>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</si>
  <si>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</si>
  <si>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</si>
  <si>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</si>
  <si>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</si>
  <si>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</si>
  <si>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</si>
  <si>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</si>
  <si>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</si>
  <si>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</si>
  <si>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</si>
  <si>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</si>
  <si>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</si>
  <si>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</si>
  <si>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</si>
  <si>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</si>
  <si>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</si>
  <si>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</si>
  <si>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</si>
  <si>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</si>
  <si>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</si>
  <si>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</si>
  <si>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</si>
  <si>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</si>
  <si>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</si>
  <si>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</si>
  <si>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</si>
  <si>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</si>
  <si>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</si>
  <si>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</si>
  <si>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</si>
  <si>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</si>
  <si>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</si>
  <si>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</si>
  <si>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</si>
  <si>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</si>
  <si>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</si>
  <si>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</si>
  <si>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</si>
  <si>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</si>
  <si>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</si>
  <si>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</si>
  <si>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</si>
  <si>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</si>
  <si>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</si>
  <si>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</si>
  <si>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</si>
  <si>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</si>
  <si>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</si>
  <si>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</si>
  <si>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</si>
  <si>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</si>
  <si>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</si>
  <si>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</si>
  <si>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</si>
  <si>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</si>
  <si>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</si>
  <si>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</si>
  <si>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</si>
  <si>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</si>
  <si>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</si>
  <si>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</si>
  <si>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</si>
  <si>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</si>
  <si>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</si>
  <si>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</si>
  <si>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</si>
  <si>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</si>
  <si>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</si>
  <si>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</si>
  <si>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</si>
  <si>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</si>
  <si>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</si>
  <si>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</si>
  <si>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</si>
  <si>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</si>
  <si>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</si>
  <si>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</si>
  <si>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</si>
  <si>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</si>
  <si>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</si>
  <si>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</si>
  <si>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</si>
  <si>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</si>
  <si>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</si>
  <si>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</si>
  <si>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</si>
  <si>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</si>
  <si>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</si>
  <si>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</si>
  <si>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</si>
  <si>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</si>
  <si>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</si>
  <si>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</si>
  <si>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</si>
  <si>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</si>
  <si>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</si>
  <si>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</si>
  <si>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</si>
  <si>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</si>
  <si>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</si>
  <si>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</si>
  <si>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</si>
  <si>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</si>
  <si>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</si>
  <si>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</si>
  <si>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</si>
  <si>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</si>
  <si>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</si>
  <si>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</si>
  <si>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</si>
  <si>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</si>
  <si>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</si>
  <si>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</si>
  <si>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</si>
  <si>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</si>
  <si>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</si>
  <si>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</si>
  <si>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</si>
  <si>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</si>
  <si>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</si>
  <si>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</si>
  <si>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</si>
  <si>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</si>
  <si>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</si>
  <si>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</si>
  <si>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</si>
  <si>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</si>
  <si>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</si>
  <si>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</si>
  <si>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</si>
  <si>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</si>
  <si>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</si>
  <si>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</si>
  <si>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</si>
  <si>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</si>
  <si>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</si>
  <si>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</si>
  <si>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</si>
  <si>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</si>
  <si>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</si>
  <si>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</si>
  <si>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</si>
  <si>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</si>
  <si>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</si>
  <si>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</si>
  <si>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</si>
  <si>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</si>
  <si>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</si>
  <si>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</si>
  <si>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</si>
  <si>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</si>
  <si>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</si>
  <si>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</si>
  <si>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</si>
  <si>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</si>
  <si>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</si>
  <si>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</si>
  <si>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</si>
  <si>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</si>
  <si>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</si>
  <si>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</si>
  <si>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</si>
  <si>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</si>
  <si>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</si>
  <si>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</si>
  <si>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</si>
  <si>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</si>
  <si>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</si>
  <si>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</si>
  <si>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</si>
  <si>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</si>
  <si>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</si>
  <si>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</si>
  <si>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</si>
  <si>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</si>
  <si>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</si>
  <si>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</si>
  <si>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</si>
  <si>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</si>
  <si>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</si>
  <si>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</si>
  <si>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</si>
  <si>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</si>
  <si>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</si>
  <si>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</si>
  <si>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</si>
  <si>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</si>
  <si>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</si>
  <si>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</si>
  <si>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</si>
  <si>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</si>
  <si>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</si>
  <si>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</si>
  <si>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</si>
  <si>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</si>
  <si>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</si>
  <si>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</si>
  <si>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</si>
  <si>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</si>
  <si>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</si>
  <si>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</si>
  <si>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</si>
  <si>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</si>
  <si>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</si>
  <si>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</si>
  <si>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</si>
  <si>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</si>
  <si>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</si>
  <si>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</si>
  <si>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</si>
  <si>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</si>
  <si>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</si>
  <si>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</si>
  <si>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</si>
  <si>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</si>
  <si>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</si>
  <si>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</si>
  <si>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</si>
  <si>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</si>
  <si>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</si>
  <si>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</si>
  <si>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</si>
  <si>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</si>
  <si>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</si>
  <si>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</si>
  <si>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</si>
  <si>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</si>
  <si>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</si>
  <si>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</si>
  <si>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</si>
  <si>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</si>
  <si>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</si>
  <si>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</si>
  <si>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</si>
  <si>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</si>
  <si>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</si>
  <si>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</si>
  <si>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</si>
  <si>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</si>
  <si>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</si>
  <si>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</si>
  <si>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</si>
  <si>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</si>
  <si>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</si>
  <si>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</si>
  <si>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</si>
  <si>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</si>
  <si>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</si>
  <si>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</si>
  <si>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</si>
  <si>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</si>
  <si>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</si>
  <si>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</si>
  <si>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</si>
  <si>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</si>
  <si>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</si>
  <si>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</si>
  <si>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</si>
  <si>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</si>
  <si>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</si>
  <si>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</si>
  <si>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</si>
  <si>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</si>
  <si>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</si>
  <si>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</si>
  <si>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</si>
  <si>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</si>
  <si>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</si>
  <si>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</si>
  <si>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</si>
  <si>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</si>
  <si>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</si>
  <si>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</si>
  <si>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</si>
  <si>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</si>
  <si>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</si>
  <si>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</si>
  <si>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</si>
  <si>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</si>
  <si>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</si>
  <si>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</si>
  <si>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</si>
  <si>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</si>
  <si>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</si>
  <si>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</si>
  <si>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</si>
  <si>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</si>
  <si>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</si>
  <si>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</si>
  <si>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</si>
  <si>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</si>
  <si>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</si>
  <si>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</si>
  <si>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</si>
  <si>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</si>
  <si>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</si>
  <si>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</si>
  <si>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</si>
  <si>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</si>
  <si>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</si>
  <si>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</si>
  <si>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</si>
  <si>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</si>
  <si>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</si>
  <si>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</si>
  <si>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</si>
  <si>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</si>
  <si>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</si>
  <si>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</si>
  <si>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</si>
  <si>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</si>
  <si>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</si>
  <si>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</si>
  <si>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</si>
  <si>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</si>
  <si>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</si>
  <si>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</si>
  <si>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</si>
  <si>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</si>
  <si>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</si>
  <si>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</si>
  <si>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</si>
  <si>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</si>
  <si>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</si>
  <si>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</si>
  <si>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</si>
  <si>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</si>
  <si>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</si>
  <si>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</si>
  <si>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</si>
  <si>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</si>
  <si>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</si>
  <si>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</si>
  <si>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</si>
  <si>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</si>
  <si>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</si>
  <si>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</si>
  <si>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</si>
  <si>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</si>
  <si>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</si>
  <si>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</si>
  <si>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</si>
  <si>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</si>
  <si>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</si>
  <si>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</si>
  <si>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</si>
  <si>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</si>
  <si>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</si>
  <si>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</si>
  <si>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</si>
  <si>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</si>
  <si>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</si>
  <si>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</si>
  <si>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</si>
  <si>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</si>
  <si>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</si>
  <si>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</si>
  <si>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</si>
  <si>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</si>
  <si>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</si>
  <si>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</si>
  <si>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</si>
  <si>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</si>
  <si>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</si>
  <si>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</si>
  <si>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</si>
  <si>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</si>
  <si>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</si>
  <si>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</si>
  <si>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</si>
  <si>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</si>
  <si>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</si>
  <si>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</si>
  <si>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</si>
  <si>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</si>
  <si>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</si>
  <si>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</si>
  <si>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</si>
  <si>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</si>
  <si>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</si>
  <si>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</si>
  <si>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</si>
  <si>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</si>
  <si>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</si>
  <si>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</si>
  <si>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</si>
  <si>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</si>
  <si>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</si>
  <si>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</si>
  <si>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</si>
  <si>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</si>
  <si>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</si>
  <si>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</si>
  <si>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</si>
  <si>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</si>
  <si>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</si>
  <si>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</si>
  <si>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</si>
  <si>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</si>
  <si>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</si>
  <si>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</si>
  <si>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</si>
  <si>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</si>
  <si>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</si>
  <si>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</si>
  <si>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</si>
  <si>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</si>
  <si>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</si>
  <si>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</si>
  <si>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</si>
  <si>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</si>
  <si>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</si>
  <si>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</si>
  <si>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</si>
  <si>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</si>
  <si>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</si>
  <si>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</si>
  <si>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</si>
  <si>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</si>
  <si>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</si>
  <si>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</si>
  <si>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</si>
  <si>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</si>
  <si>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</si>
  <si>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</si>
  <si>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</si>
  <si>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</si>
  <si>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</si>
  <si>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</si>
  <si>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</si>
  <si>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</si>
  <si>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</si>
  <si>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</si>
  <si>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</si>
  <si>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</si>
  <si>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</si>
  <si>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</si>
  <si>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</si>
  <si>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</si>
  <si>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</si>
  <si>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</si>
  <si>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</si>
  <si>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</si>
  <si>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</si>
  <si>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</si>
  <si>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</si>
  <si>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</si>
  <si>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</si>
  <si>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</si>
  <si>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</si>
  <si>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</si>
  <si>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</si>
  <si>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</si>
  <si>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</si>
  <si>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</si>
  <si>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</si>
  <si>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</si>
  <si>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</si>
  <si>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</si>
  <si>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</si>
  <si>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</si>
  <si>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</si>
  <si>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</si>
  <si>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</si>
  <si>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</si>
  <si>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</si>
  <si>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</si>
  <si>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</si>
  <si>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</si>
  <si>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</si>
  <si>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</si>
  <si>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</si>
  <si>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</si>
  <si>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</si>
  <si>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</si>
  <si>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</si>
  <si>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</si>
  <si>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</si>
  <si>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</si>
  <si>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</si>
  <si>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</si>
  <si>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</si>
  <si>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</si>
  <si>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</si>
  <si>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</si>
  <si>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</si>
  <si>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</si>
  <si>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</si>
  <si>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</si>
  <si>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</si>
  <si>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</si>
  <si>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</si>
  <si>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</si>
  <si>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</si>
  <si>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</si>
  <si>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</si>
  <si>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</si>
  <si>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</si>
  <si>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</si>
  <si>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</si>
  <si>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</si>
  <si>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</si>
  <si>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</si>
  <si>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</si>
  <si>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</si>
  <si>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</si>
  <si>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</si>
  <si>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</si>
  <si>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</si>
  <si>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</si>
  <si>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</si>
  <si>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</si>
  <si>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</si>
  <si>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</si>
  <si>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</si>
  <si>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</si>
  <si>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</si>
  <si>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</si>
  <si>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</si>
  <si>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</si>
  <si>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</si>
  <si>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</si>
  <si>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</si>
  <si>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</si>
  <si>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</si>
  <si>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</si>
  <si>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</si>
  <si>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</si>
  <si>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</si>
  <si>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</si>
  <si>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</si>
  <si>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</si>
  <si>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</si>
  <si>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</si>
  <si>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</si>
  <si>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</si>
  <si>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</si>
  <si>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</si>
  <si>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</si>
  <si>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</si>
  <si>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</si>
  <si>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</si>
  <si>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</si>
  <si>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</si>
  <si>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</si>
  <si>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</si>
  <si>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</si>
  <si>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</si>
  <si>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</si>
  <si>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</si>
  <si>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</si>
  <si>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</si>
  <si>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</si>
  <si>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</si>
  <si>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</si>
  <si>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</si>
  <si>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</si>
  <si>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</si>
  <si>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</si>
  <si>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</si>
  <si>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</si>
  <si>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</si>
  <si>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</si>
  <si>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</si>
  <si>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</si>
  <si>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</si>
  <si>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</si>
  <si>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</si>
  <si>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</si>
  <si>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</si>
  <si>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</si>
  <si>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</si>
  <si>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</si>
  <si>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</si>
  <si>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</si>
  <si>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</si>
  <si>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</si>
  <si>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</si>
  <si>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</si>
  <si>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</si>
  <si>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</si>
  <si>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</si>
  <si>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</si>
  <si>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</si>
  <si>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</si>
  <si>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</si>
  <si>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</si>
  <si>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</si>
  <si>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</si>
  <si>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</si>
  <si>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</si>
  <si>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</si>
  <si>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</si>
  <si>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</si>
  <si>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</si>
  <si>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</si>
  <si>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</si>
  <si>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</si>
  <si>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</si>
  <si>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</si>
  <si>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</si>
  <si>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</si>
  <si>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</si>
  <si>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</si>
  <si>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</si>
  <si>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</si>
  <si>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</si>
  <si>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</si>
  <si>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</si>
  <si>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</si>
  <si>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</si>
  <si>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</si>
  <si>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</si>
  <si>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</si>
  <si>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</si>
  <si>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</si>
  <si>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</si>
  <si>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</si>
  <si>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</si>
  <si>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</si>
  <si>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</si>
  <si>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</si>
  <si>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</si>
  <si>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</si>
  <si>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</si>
  <si>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</si>
  <si>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</si>
  <si>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</si>
  <si>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</si>
  <si>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</si>
  <si>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</si>
  <si>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</si>
  <si>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</si>
  <si>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</si>
  <si>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</si>
  <si>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</si>
  <si>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</si>
  <si>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</si>
  <si>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</si>
  <si>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</si>
  <si>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</si>
  <si>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</si>
  <si>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</si>
  <si>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</si>
  <si>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</si>
  <si>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</si>
  <si>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</si>
  <si>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</si>
  <si>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</si>
  <si>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</si>
  <si>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</si>
  <si>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</si>
  <si>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</si>
  <si>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</si>
  <si>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</si>
  <si>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</si>
  <si>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</si>
  <si>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</si>
  <si>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</si>
  <si>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</si>
  <si>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</si>
  <si>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</si>
  <si>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</si>
  <si>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</si>
  <si>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</si>
  <si>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</si>
  <si>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</si>
  <si>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</si>
  <si>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</si>
  <si>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</si>
  <si>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</si>
  <si>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</si>
  <si>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</si>
  <si>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</si>
  <si>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</si>
  <si>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</si>
  <si>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</si>
  <si>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</si>
  <si>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</si>
  <si>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</si>
  <si>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</si>
  <si>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</si>
  <si>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</si>
  <si>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</si>
  <si>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</si>
  <si>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</si>
  <si>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</si>
  <si>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</si>
  <si>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</si>
  <si>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</si>
  <si>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</si>
  <si>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</si>
  <si>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</si>
  <si>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</si>
  <si>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</si>
  <si>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</si>
  <si>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</si>
  <si>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</si>
  <si>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</si>
  <si>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</si>
  <si>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</si>
  <si>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</si>
  <si>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</si>
  <si>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</si>
  <si>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</si>
  <si>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</si>
  <si>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</si>
  <si>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</si>
  <si>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</si>
  <si>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</si>
  <si>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</si>
  <si>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</si>
  <si>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</si>
  <si>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</si>
  <si>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</si>
  <si>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</si>
  <si>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</si>
  <si>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</si>
  <si>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</si>
  <si>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</si>
  <si>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</si>
  <si>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</si>
  <si>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</si>
  <si>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</si>
  <si>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</si>
  <si>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</si>
  <si>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</si>
  <si>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</si>
  <si>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</si>
  <si>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</si>
  <si>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</si>
  <si>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</si>
  <si>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</si>
  <si>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</si>
  <si>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</si>
  <si>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</si>
  <si>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</si>
  <si>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</si>
  <si>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</si>
  <si>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</si>
  <si>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</si>
  <si>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</si>
  <si>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</si>
  <si>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</si>
  <si>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</si>
  <si>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</si>
  <si>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</si>
  <si>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</si>
  <si>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</si>
  <si>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</si>
  <si>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</si>
  <si>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</si>
  <si>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</si>
  <si>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</si>
  <si>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</si>
  <si>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</si>
  <si>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</si>
  <si>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</si>
  <si>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</si>
  <si>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</si>
  <si>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</si>
  <si>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</si>
  <si>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</si>
  <si>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</si>
  <si>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</si>
  <si>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</si>
  <si>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</si>
  <si>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</si>
  <si>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</si>
  <si>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</si>
  <si>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</si>
  <si>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</si>
  <si>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</si>
  <si>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</si>
  <si>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</si>
  <si>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</si>
  <si>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</si>
  <si>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</si>
  <si>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</si>
  <si>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</si>
  <si>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</si>
  <si>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</si>
  <si>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</si>
  <si>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</si>
  <si>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</si>
  <si>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</si>
  <si>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</si>
  <si>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</si>
  <si>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</si>
  <si>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</si>
  <si>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</si>
  <si>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</si>
  <si>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</si>
  <si>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</si>
  <si>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</si>
  <si>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</si>
  <si>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</si>
  <si>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</si>
  <si>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</si>
  <si>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</si>
  <si>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</si>
  <si>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</si>
  <si>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</si>
  <si>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</si>
  <si>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</si>
  <si>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</si>
  <si>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</si>
  <si>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</si>
  <si>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</si>
  <si>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</si>
  <si>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</si>
  <si>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</si>
  <si>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</si>
  <si>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</si>
  <si>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</si>
  <si>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</si>
  <si>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</si>
  <si>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</si>
  <si>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</si>
  <si>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</si>
  <si>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</si>
  <si>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</si>
  <si>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</si>
  <si>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</si>
  <si>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</si>
  <si>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</si>
  <si>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</si>
  <si>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</si>
  <si>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</si>
  <si>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</si>
  <si>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</si>
  <si>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</si>
  <si>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</si>
  <si>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</si>
  <si>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</si>
  <si>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</si>
  <si>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</si>
  <si>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</si>
  <si>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</si>
  <si>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</si>
  <si>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</si>
  <si>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</si>
  <si>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</si>
  <si>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</si>
  <si>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</si>
  <si>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</si>
  <si>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</si>
  <si>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</si>
  <si>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</si>
  <si>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</si>
  <si>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</si>
  <si>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</si>
  <si>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</si>
  <si>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</si>
  <si>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</si>
  <si>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</si>
  <si>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</si>
  <si>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</si>
  <si>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</si>
  <si>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</si>
  <si>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</si>
  <si>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</si>
  <si>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</si>
  <si>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</si>
  <si>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</si>
  <si>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</si>
  <si>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</si>
  <si>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</si>
  <si>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</si>
  <si>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</si>
  <si>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</si>
  <si>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</si>
  <si>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</si>
  <si>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</si>
  <si>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</si>
  <si>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</si>
  <si>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</si>
  <si>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</si>
  <si>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</si>
  <si>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</si>
  <si>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</si>
  <si>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</si>
  <si>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</si>
  <si>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</si>
  <si>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</si>
  <si>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</si>
  <si>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</si>
  <si>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</si>
  <si>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</si>
  <si>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</si>
  <si>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</si>
  <si>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</si>
  <si>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</si>
  <si>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</si>
  <si>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</si>
  <si>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</si>
  <si>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</si>
  <si>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</si>
  <si>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</si>
  <si>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</si>
  <si>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</si>
  <si>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</si>
  <si>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</si>
  <si>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</si>
  <si>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</si>
  <si>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</si>
  <si>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</si>
  <si>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</si>
  <si>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</si>
  <si>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</si>
  <si>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</si>
  <si>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</si>
  <si>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</si>
  <si>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</si>
  <si>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</si>
  <si>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</si>
  <si>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</si>
  <si>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</si>
  <si>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</si>
  <si>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</si>
  <si>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</si>
  <si>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</si>
  <si>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</si>
  <si>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</si>
  <si>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</si>
  <si>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</si>
  <si>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</si>
  <si>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</si>
  <si>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</si>
  <si>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</si>
  <si>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</si>
  <si>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</si>
  <si>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</si>
  <si>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</si>
  <si>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</si>
  <si>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</si>
  <si>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</si>
  <si>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</si>
  <si>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</si>
  <si>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</si>
  <si>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</si>
  <si>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</si>
  <si>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</si>
  <si>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</si>
  <si>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</si>
  <si>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</si>
  <si>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</si>
  <si>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</si>
  <si>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</si>
  <si>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</si>
  <si>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</si>
  <si>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</si>
  <si>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</si>
  <si>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</si>
  <si>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</si>
  <si>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</si>
  <si>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</si>
  <si>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</si>
  <si>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</si>
  <si>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</si>
  <si>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</si>
  <si>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</si>
  <si>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</si>
  <si>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</si>
  <si>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</si>
  <si>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</si>
  <si>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</si>
  <si>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</si>
  <si>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</si>
  <si>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</si>
  <si>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</si>
  <si>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</si>
  <si>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</si>
  <si>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</si>
  <si>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</si>
  <si>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</si>
  <si>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</si>
  <si>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</si>
  <si>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</si>
  <si>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</si>
  <si>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</si>
  <si>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</si>
  <si>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</si>
  <si>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</si>
  <si>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</si>
  <si>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</si>
  <si>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</si>
  <si>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</si>
  <si>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</si>
  <si>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</si>
  <si>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</si>
  <si>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</si>
  <si>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</si>
  <si>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</si>
  <si>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</si>
  <si>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</si>
  <si>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</si>
  <si>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</si>
  <si>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</si>
  <si>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</si>
  <si>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</si>
  <si>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</si>
  <si>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</si>
  <si>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</si>
  <si>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</si>
  <si>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</si>
  <si>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</si>
  <si>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</si>
  <si>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</si>
  <si>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</si>
  <si>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</si>
  <si>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</si>
  <si>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</si>
  <si>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</si>
  <si>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</si>
  <si>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</si>
  <si>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</si>
  <si>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</si>
  <si>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</si>
  <si>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</si>
  <si>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</si>
  <si>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</si>
  <si>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</si>
  <si>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</si>
  <si>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</si>
  <si>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</si>
  <si>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</si>
  <si>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</si>
  <si>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</si>
  <si>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</si>
  <si>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</si>
  <si>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</si>
  <si>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</si>
  <si>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</si>
  <si>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</si>
  <si>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</si>
  <si>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</si>
  <si>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</si>
  <si>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</si>
  <si>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</si>
  <si>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</si>
  <si>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</si>
  <si>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</si>
  <si>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</si>
  <si>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</si>
  <si>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</si>
  <si>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</si>
  <si>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</si>
  <si>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</si>
  <si>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</si>
  <si>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</si>
  <si>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</si>
  <si>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</si>
  <si>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</si>
  <si>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</si>
  <si>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</si>
  <si>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</si>
  <si>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</si>
  <si>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</si>
  <si>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</si>
  <si>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</si>
  <si>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</si>
  <si>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</si>
  <si>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</si>
  <si>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</si>
  <si>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</si>
  <si>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</si>
  <si>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</si>
  <si>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</si>
  <si>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</si>
  <si>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</si>
  <si>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</si>
  <si>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</si>
  <si>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</si>
  <si>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</si>
  <si>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</si>
  <si>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</si>
  <si>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</si>
  <si>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</si>
  <si>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</si>
  <si>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</si>
  <si>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</si>
  <si>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</si>
  <si>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</si>
  <si>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</si>
  <si>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</si>
  <si>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</si>
  <si>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</si>
  <si>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</si>
  <si>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</si>
  <si>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</si>
  <si>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</si>
  <si>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</si>
  <si>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</si>
  <si>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</si>
  <si>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</si>
  <si>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</si>
  <si>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</si>
  <si>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</si>
  <si>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</si>
  <si>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</si>
  <si>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</si>
  <si>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</si>
  <si>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</si>
  <si>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</si>
  <si>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</si>
  <si>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</si>
  <si>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</si>
  <si>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</si>
  <si>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</si>
  <si>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</si>
  <si>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</si>
  <si>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</si>
  <si>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</si>
  <si>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</si>
  <si>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</si>
  <si>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</si>
  <si>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</si>
  <si>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</si>
  <si>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</si>
  <si>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</si>
  <si>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</si>
  <si>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</si>
  <si>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</si>
  <si>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</si>
  <si>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</si>
  <si>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</si>
  <si>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</si>
  <si>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</si>
  <si>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</si>
  <si>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</si>
  <si>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</si>
  <si>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</si>
  <si>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</si>
  <si>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</si>
  <si>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</si>
  <si>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</si>
  <si>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</si>
  <si>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</si>
  <si>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</si>
  <si>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</si>
  <si>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</si>
  <si>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</si>
  <si>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</si>
  <si>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</si>
  <si>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</si>
  <si>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</si>
  <si>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</si>
  <si>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</si>
  <si>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</si>
  <si>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</si>
  <si>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</si>
  <si>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</si>
  <si>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</si>
  <si>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</si>
  <si>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</si>
  <si>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</si>
  <si>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</si>
  <si>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</si>
  <si>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</si>
  <si>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</si>
  <si>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</si>
  <si>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</si>
  <si>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</si>
  <si>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</si>
  <si>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</si>
  <si>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</si>
  <si>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</si>
  <si>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</si>
  <si>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</si>
  <si>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</si>
  <si>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</si>
  <si>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</si>
  <si>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</si>
  <si>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</si>
  <si>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</si>
  <si>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</si>
  <si>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</si>
  <si>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</si>
  <si>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</si>
  <si>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</si>
  <si>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</si>
  <si>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</si>
  <si>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</si>
  <si>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</si>
  <si>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</si>
  <si>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</si>
  <si>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</si>
  <si>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</si>
  <si>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</si>
  <si>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</si>
  <si>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</si>
  <si>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</si>
  <si>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</si>
  <si>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</si>
  <si>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</si>
  <si>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</si>
  <si>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</si>
  <si>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</si>
  <si>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</si>
  <si>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</si>
  <si>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</si>
  <si>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</si>
  <si>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</si>
  <si>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</si>
  <si>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</si>
  <si>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</si>
  <si>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</si>
  <si>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</si>
  <si>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</si>
  <si>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</si>
  <si>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</si>
  <si>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</si>
  <si>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</si>
  <si>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</si>
  <si>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</si>
  <si>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</si>
  <si>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</si>
  <si>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</si>
  <si>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</si>
  <si>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</si>
  <si>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</si>
  <si>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</si>
  <si>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</si>
  <si>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</si>
  <si>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</si>
  <si>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</si>
  <si>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</si>
  <si>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</si>
  <si>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</si>
  <si>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</si>
  <si>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</si>
  <si>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</si>
  <si>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</si>
  <si>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</si>
  <si>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</si>
  <si>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</si>
  <si>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</si>
  <si>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</si>
  <si>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</si>
  <si>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</si>
  <si>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</si>
  <si>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</si>
  <si>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</si>
  <si>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</si>
  <si>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</si>
  <si>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</si>
  <si>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</si>
  <si>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</si>
  <si>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</si>
  <si>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</si>
  <si>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</si>
  <si>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</si>
  <si>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</si>
  <si>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</si>
  <si>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</si>
  <si>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</si>
  <si>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</si>
  <si>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</si>
  <si>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</si>
  <si>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</si>
  <si>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</si>
  <si>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</si>
  <si>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</si>
  <si>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</si>
  <si>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</si>
  <si>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</si>
  <si>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</si>
  <si>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</si>
  <si>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</si>
  <si>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</si>
  <si>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</si>
  <si>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</si>
  <si>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</si>
  <si>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</si>
  <si>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</si>
  <si>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</si>
  <si>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</si>
  <si>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</si>
  <si>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</si>
  <si>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</si>
  <si>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</si>
  <si>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</si>
  <si>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</si>
  <si>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</si>
  <si>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</si>
  <si>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</si>
  <si>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</si>
  <si>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</si>
  <si>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</si>
  <si>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</si>
  <si>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</si>
  <si>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</si>
  <si>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</si>
  <si>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</si>
  <si>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</si>
  <si>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</si>
  <si>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</si>
  <si>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</si>
  <si>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</si>
  <si>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</si>
  <si>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</si>
  <si>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</si>
  <si>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</si>
  <si>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</si>
  <si>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</si>
  <si>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</si>
  <si>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</si>
  <si>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</si>
  <si>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</si>
  <si>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</si>
  <si>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</si>
  <si>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</si>
  <si>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</si>
  <si>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</si>
  <si>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</si>
  <si>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</si>
  <si>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</si>
  <si>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</si>
  <si>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</si>
  <si>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</si>
  <si>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</si>
  <si>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</si>
  <si>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</si>
  <si>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</si>
  <si>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</si>
  <si>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</si>
  <si>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</si>
  <si>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</si>
  <si>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</si>
  <si>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</si>
  <si>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</si>
  <si>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</si>
  <si>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</si>
  <si>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</si>
  <si>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</si>
  <si>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</si>
  <si>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</si>
  <si>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</si>
  <si>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</si>
  <si>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</si>
  <si>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</si>
  <si>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</si>
  <si>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</si>
  <si>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</si>
  <si>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</si>
  <si>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</si>
  <si>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</si>
  <si>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</si>
  <si>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</si>
  <si>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</si>
  <si>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</si>
  <si>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</si>
  <si>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</si>
  <si>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</si>
  <si>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</si>
  <si>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</si>
  <si>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</si>
  <si>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</si>
  <si>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</si>
  <si>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</si>
  <si>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</si>
  <si>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</si>
  <si>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</si>
  <si>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</si>
  <si>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</si>
  <si>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</si>
  <si>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</si>
  <si>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</si>
  <si>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</si>
  <si>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</si>
  <si>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</si>
  <si>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</si>
  <si>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</si>
  <si>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</si>
  <si>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</si>
  <si>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</si>
  <si>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</si>
  <si>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</si>
  <si>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</si>
  <si>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</si>
  <si>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</si>
  <si>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</si>
  <si>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</si>
  <si>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</si>
  <si>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</si>
  <si>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</si>
  <si>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</si>
  <si>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</si>
  <si>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</si>
  <si>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</si>
  <si>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</si>
  <si>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</si>
  <si>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</si>
  <si>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</si>
  <si>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</si>
  <si>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</si>
  <si>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</si>
  <si>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</si>
  <si>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</si>
  <si>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</si>
  <si>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</si>
  <si>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</si>
  <si>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</si>
  <si>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</si>
  <si>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</si>
  <si>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</si>
  <si>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</si>
  <si>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</si>
  <si>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</si>
  <si>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</si>
  <si>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</si>
  <si>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</si>
  <si>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</si>
  <si>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</si>
  <si>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</si>
  <si>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</si>
  <si>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</si>
  <si>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</si>
  <si>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</si>
  <si>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</si>
  <si>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</si>
  <si>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</si>
  <si>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</si>
  <si>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</si>
  <si>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</si>
  <si>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</si>
  <si>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</si>
  <si>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</si>
  <si>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</si>
  <si>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</si>
  <si>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</si>
  <si>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</si>
  <si>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</si>
  <si>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</si>
  <si>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</si>
  <si>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</si>
  <si>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</si>
  <si>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</si>
  <si>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</si>
  <si>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</si>
  <si>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</si>
  <si>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</si>
  <si>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</si>
  <si>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</si>
  <si>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</si>
  <si>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</si>
  <si>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</si>
  <si>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</si>
  <si>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</si>
  <si>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</si>
  <si>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</si>
  <si>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</si>
  <si>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</si>
  <si>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</si>
  <si>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</si>
  <si>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</si>
  <si>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</si>
  <si>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</si>
  <si>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</si>
  <si>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</si>
  <si>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</si>
  <si>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</si>
  <si>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</si>
  <si>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</si>
  <si>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</si>
  <si>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</si>
  <si>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</si>
  <si>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</si>
  <si>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</si>
  <si>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</si>
  <si>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</si>
  <si>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</si>
  <si>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</si>
  <si>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</si>
  <si>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</si>
  <si>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</si>
  <si>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</si>
  <si>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</si>
  <si>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</si>
  <si>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</si>
  <si>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</si>
  <si>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</si>
  <si>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</si>
  <si>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</si>
  <si>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</si>
  <si>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</si>
  <si>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</si>
  <si>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</si>
  <si>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</si>
  <si>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</si>
  <si>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</si>
  <si>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</si>
  <si>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</si>
  <si>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</si>
  <si>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</si>
  <si>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</si>
  <si>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</si>
  <si>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</si>
  <si>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</si>
  <si>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</si>
  <si>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</si>
  <si>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</si>
  <si>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</si>
  <si>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</si>
  <si>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</si>
  <si>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</si>
  <si>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</si>
  <si>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</si>
  <si>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</si>
  <si>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</si>
  <si>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</si>
  <si>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</si>
  <si>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</si>
  <si>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</si>
  <si>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</si>
  <si>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</si>
  <si>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</si>
  <si>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</si>
  <si>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</si>
  <si>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</si>
  <si>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</si>
  <si>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</si>
  <si>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</si>
  <si>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</si>
  <si>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</si>
  <si>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</si>
  <si>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</si>
  <si>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</si>
  <si>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</si>
  <si>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</si>
  <si>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</si>
  <si>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</si>
  <si>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</si>
  <si>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</si>
  <si>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</si>
  <si>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</si>
  <si>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</si>
  <si>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</si>
  <si>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</si>
  <si>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</si>
  <si>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</si>
  <si>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</si>
  <si>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</si>
  <si>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</si>
  <si>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</si>
  <si>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</si>
  <si>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</si>
  <si>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</si>
  <si>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</si>
  <si>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</si>
  <si>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</si>
  <si>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</si>
  <si>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</si>
  <si>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</si>
  <si>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</si>
  <si>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</si>
  <si>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</si>
  <si>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</si>
  <si>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</si>
  <si>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</si>
  <si>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</si>
  <si>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</si>
  <si>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</si>
  <si>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</si>
  <si>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</si>
  <si>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</si>
  <si>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</si>
  <si>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</si>
  <si>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</si>
  <si>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</si>
  <si>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</si>
  <si>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</si>
  <si>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</si>
  <si>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</si>
  <si>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</si>
  <si>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</si>
  <si>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</si>
  <si>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</si>
  <si>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</si>
  <si>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</si>
  <si>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</si>
  <si>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</si>
  <si>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</si>
  <si>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</si>
  <si>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</si>
  <si>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</si>
  <si>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</si>
  <si>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</si>
  <si>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</si>
  <si>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</si>
  <si>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</si>
  <si>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</si>
  <si>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</si>
  <si>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</si>
  <si>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</si>
  <si>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</si>
  <si>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</si>
  <si>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</si>
  <si>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</si>
  <si>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</si>
  <si>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</si>
  <si>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</si>
  <si>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</si>
  <si>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</si>
  <si>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</si>
  <si>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</si>
  <si>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</si>
  <si>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</si>
  <si>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</si>
  <si>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</si>
  <si>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</si>
  <si>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</si>
  <si>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</si>
  <si>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</si>
  <si>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</si>
  <si>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</si>
  <si>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</si>
  <si>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</si>
  <si>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</si>
  <si>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</si>
  <si>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</si>
  <si>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</si>
  <si>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</si>
  <si>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</si>
  <si>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</si>
  <si>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</si>
  <si>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</si>
  <si>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</si>
  <si>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</si>
  <si>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</si>
  <si>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</si>
  <si>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</si>
  <si>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</si>
  <si>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</si>
  <si>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</si>
  <si>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</si>
  <si>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</si>
  <si>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</si>
  <si>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</si>
  <si>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</si>
  <si>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</si>
  <si>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</si>
  <si>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</si>
  <si>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</si>
  <si>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</si>
  <si>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</si>
  <si>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</si>
  <si>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</si>
  <si>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</si>
  <si>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</si>
  <si>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</si>
  <si>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</si>
  <si>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</si>
  <si>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</si>
  <si>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</si>
  <si>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</si>
  <si>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</si>
  <si>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</si>
  <si>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</si>
  <si>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</si>
  <si>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</si>
  <si>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</si>
  <si>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</si>
  <si>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</si>
  <si>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</si>
  <si>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</si>
  <si>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</si>
  <si>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</si>
  <si>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</si>
  <si>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</si>
  <si>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</si>
  <si>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</si>
  <si>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</si>
  <si>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</si>
  <si>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</si>
  <si>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</si>
  <si>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</si>
  <si>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</si>
  <si>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</si>
  <si>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</si>
  <si>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</si>
  <si>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</si>
  <si>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</si>
  <si>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</si>
  <si>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</si>
  <si>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</si>
  <si>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</si>
  <si>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</si>
  <si>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</si>
  <si>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</si>
  <si>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</si>
  <si>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</si>
  <si>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</si>
  <si>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</si>
  <si>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</si>
  <si>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</si>
  <si>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</si>
  <si>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</si>
  <si>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</si>
  <si>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</si>
  <si>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</si>
  <si>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</si>
  <si>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</si>
  <si>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</si>
  <si>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</si>
  <si>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</si>
  <si>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</si>
  <si>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</si>
  <si>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</si>
  <si>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</si>
  <si>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</si>
  <si>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</si>
  <si>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</si>
  <si>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</si>
  <si>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</si>
  <si>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</si>
  <si>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</si>
  <si>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</si>
  <si>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</si>
  <si>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</si>
  <si>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</si>
  <si>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</si>
  <si>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</si>
  <si>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</si>
  <si>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</si>
  <si>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</si>
  <si>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</si>
  <si>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</si>
  <si>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</si>
  <si>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</si>
  <si>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</si>
  <si>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</si>
  <si>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</si>
  <si>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</si>
  <si>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</si>
  <si>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</si>
  <si>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</si>
  <si>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</si>
  <si>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</si>
  <si>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</si>
  <si>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</si>
  <si>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</si>
  <si>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</si>
  <si>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</si>
  <si>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</si>
  <si>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</si>
  <si>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</si>
  <si>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</si>
  <si>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</si>
  <si>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</si>
  <si>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</si>
  <si>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</si>
  <si>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</si>
  <si>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</si>
  <si>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</si>
  <si>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</si>
  <si>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</si>
  <si>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</si>
  <si>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</si>
  <si>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</si>
  <si>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</si>
  <si>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</si>
  <si>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</si>
  <si>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</si>
  <si>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</si>
  <si>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</si>
  <si>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</si>
  <si>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</si>
  <si>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</si>
  <si>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</si>
  <si>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</si>
  <si>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</si>
  <si>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</si>
  <si>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</si>
  <si>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</si>
  <si>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</si>
  <si>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</si>
  <si>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</si>
  <si>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</si>
  <si>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</si>
  <si>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</si>
  <si>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</si>
  <si>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</si>
  <si>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</si>
  <si>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</si>
  <si>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</si>
  <si>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</si>
  <si>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</si>
  <si>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</si>
  <si>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</si>
  <si>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</si>
  <si>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</si>
  <si>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</si>
  <si>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</si>
  <si>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</si>
  <si>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</si>
  <si>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</si>
  <si>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</si>
  <si>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</si>
  <si>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</si>
  <si>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</si>
  <si>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</si>
  <si>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</si>
  <si>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</si>
  <si>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</si>
  <si>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</si>
  <si>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</si>
  <si>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</si>
  <si>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</si>
  <si>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</si>
  <si>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</si>
  <si>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</si>
  <si>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</si>
  <si>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</si>
  <si>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</si>
  <si>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</si>
  <si>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</si>
  <si>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</si>
  <si>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</si>
  <si>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</si>
  <si>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</si>
  <si>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</si>
  <si>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</si>
  <si>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</si>
  <si>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</si>
  <si>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</si>
  <si>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</si>
  <si>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</si>
  <si>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</si>
  <si>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</si>
  <si>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</si>
  <si>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</si>
  <si>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</si>
  <si>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</si>
  <si>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</si>
  <si>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</si>
  <si>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</si>
  <si>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</si>
  <si>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</si>
  <si>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</si>
  <si>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</si>
  <si>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</si>
  <si>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</si>
  <si>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</si>
  <si>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</si>
  <si>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</si>
  <si>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</si>
  <si>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</si>
  <si>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</si>
  <si>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</si>
  <si>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</si>
  <si>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</si>
  <si>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</si>
  <si>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</si>
  <si>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</si>
  <si>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</si>
  <si>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</si>
  <si>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</si>
  <si>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</si>
  <si>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</si>
  <si>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</si>
  <si>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</si>
  <si>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</si>
  <si>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</si>
  <si>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</si>
  <si>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</si>
  <si>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</si>
  <si>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</si>
  <si>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</si>
  <si>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</si>
  <si>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</si>
  <si>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</si>
  <si>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</si>
  <si>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</si>
  <si>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</si>
  <si>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</si>
  <si>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</si>
  <si>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</si>
  <si>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</si>
  <si>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</si>
  <si>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</si>
  <si>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</si>
  <si>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</si>
  <si>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</si>
  <si>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</si>
  <si>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</si>
  <si>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</si>
  <si>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</si>
  <si>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</si>
  <si>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</si>
  <si>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</si>
  <si>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</si>
  <si>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</si>
  <si>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</si>
  <si>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</si>
  <si>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</si>
  <si>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</si>
  <si>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</si>
  <si>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</si>
  <si>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</si>
  <si>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</si>
  <si>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</si>
  <si>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</si>
  <si>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</si>
  <si>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</si>
  <si>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</si>
  <si>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</si>
  <si>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</si>
  <si>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</si>
  <si>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</si>
  <si>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</si>
  <si>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</si>
  <si>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</si>
  <si>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</si>
  <si>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</si>
  <si>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</si>
  <si>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</si>
  <si>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</si>
  <si>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</si>
  <si>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</si>
  <si>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</si>
  <si>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</si>
  <si>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</si>
  <si>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</si>
  <si>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</si>
  <si>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</si>
  <si>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</si>
  <si>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</si>
  <si>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</si>
  <si>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</si>
  <si>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</si>
  <si>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</si>
  <si>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</si>
  <si>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</si>
  <si>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</si>
  <si>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</si>
  <si>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</si>
  <si>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</si>
  <si>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</si>
  <si>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</si>
  <si>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</si>
  <si>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</si>
  <si>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</si>
  <si>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</si>
  <si>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</si>
  <si>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</si>
  <si>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</si>
  <si>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</si>
  <si>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</si>
  <si>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</si>
  <si>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</si>
  <si>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</si>
  <si>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</si>
  <si>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</si>
  <si>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</si>
  <si>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</si>
  <si>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</si>
  <si>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</si>
  <si>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</si>
  <si>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</si>
  <si>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</si>
  <si>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</si>
  <si>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</si>
  <si>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</si>
  <si>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</si>
  <si>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</si>
  <si>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</si>
  <si>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</si>
  <si>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</si>
  <si>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</si>
  <si>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</si>
  <si>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</si>
  <si>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</si>
  <si>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</si>
  <si>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</si>
  <si>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</si>
  <si>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</si>
  <si>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</si>
  <si>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</si>
  <si>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</si>
  <si>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</si>
  <si>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</si>
  <si>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</si>
  <si>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</si>
  <si>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</si>
  <si>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</si>
  <si>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</si>
  <si>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</si>
  <si>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</si>
  <si>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</si>
  <si>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</si>
  <si>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</si>
  <si>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</si>
  <si>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</si>
  <si>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</si>
  <si>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</si>
  <si>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</si>
  <si>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</si>
  <si>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</si>
  <si>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</si>
  <si>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</si>
  <si>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</si>
  <si>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</si>
  <si>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</si>
  <si>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</si>
  <si>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</si>
  <si>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</si>
  <si>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</si>
  <si>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</si>
  <si>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</si>
  <si>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</si>
  <si>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</si>
  <si>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</si>
  <si>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</si>
  <si>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</si>
  <si>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</si>
  <si>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</si>
  <si>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</si>
  <si>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</si>
  <si>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</si>
  <si>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</si>
  <si>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</si>
  <si>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</si>
  <si>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</si>
  <si>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</si>
  <si>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</si>
  <si>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</si>
  <si>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</si>
  <si>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</si>
  <si>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</si>
  <si>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</si>
  <si>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</si>
  <si>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</si>
  <si>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</si>
  <si>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</si>
  <si>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</si>
  <si>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</si>
  <si>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</si>
  <si>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</si>
  <si>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</si>
  <si>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</si>
  <si>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</si>
  <si>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</si>
  <si>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</si>
  <si>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</si>
  <si>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</si>
  <si>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</si>
  <si>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</si>
  <si>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</si>
  <si>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</si>
  <si>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</si>
  <si>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</si>
  <si>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</si>
  <si>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</si>
  <si>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</si>
  <si>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</si>
  <si>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</si>
  <si>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</si>
  <si>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</si>
  <si>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</si>
  <si>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</si>
  <si>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</si>
  <si>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</si>
  <si>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</si>
  <si>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</si>
  <si>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</si>
  <si>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</si>
  <si>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</si>
  <si>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</si>
  <si>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</si>
  <si>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</si>
  <si>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</si>
  <si>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</si>
  <si>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</si>
  <si>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</si>
  <si>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</si>
  <si>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</si>
  <si>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</si>
  <si>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</si>
  <si>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</si>
  <si>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</si>
  <si>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</si>
  <si>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</si>
  <si>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</si>
  <si>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</si>
  <si>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</si>
  <si>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</si>
  <si>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</si>
  <si>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</si>
  <si>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</si>
  <si>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</si>
  <si>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</si>
  <si>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</si>
  <si>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</si>
  <si>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</si>
  <si>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</si>
  <si>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</si>
  <si>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</si>
  <si>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</si>
  <si>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</si>
  <si>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</si>
  <si>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</si>
  <si>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</si>
  <si>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</si>
  <si>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</si>
  <si>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</si>
  <si>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</si>
  <si>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</si>
  <si>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</si>
  <si>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</si>
  <si>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</si>
  <si>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</si>
  <si>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</si>
  <si>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</si>
  <si>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</si>
  <si>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</si>
  <si>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</si>
  <si>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</si>
  <si>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</si>
  <si>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</si>
  <si>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</si>
  <si>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</si>
  <si>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</si>
  <si>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</si>
  <si>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</si>
  <si>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</si>
  <si>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</si>
  <si>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</si>
  <si>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</si>
  <si>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</si>
  <si>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</si>
  <si>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</si>
  <si>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</si>
  <si>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</si>
  <si>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</si>
  <si>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</si>
  <si>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</si>
  <si>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</si>
  <si>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</si>
  <si>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</si>
  <si>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</si>
  <si>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</si>
  <si>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</si>
  <si>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</si>
  <si>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</si>
  <si>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</si>
  <si>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</si>
  <si>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</si>
  <si>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</si>
  <si>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</si>
  <si>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</si>
  <si>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</si>
  <si>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</si>
  <si>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</si>
  <si>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</si>
  <si>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</si>
  <si>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</si>
  <si>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</si>
  <si>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</si>
  <si>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</si>
  <si>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</si>
  <si>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</si>
  <si>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</si>
  <si>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</si>
  <si>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</si>
  <si>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</si>
  <si>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</si>
  <si>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</si>
  <si>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</si>
  <si>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</si>
  <si>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</si>
  <si>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</si>
  <si>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</si>
  <si>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</si>
  <si>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</si>
  <si>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</si>
  <si>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</si>
  <si>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</si>
  <si>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</si>
  <si>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</si>
  <si>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</si>
  <si>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</si>
  <si>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</si>
  <si>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</si>
  <si>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</si>
  <si>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</si>
  <si>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</si>
  <si>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</si>
  <si>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</si>
  <si>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</si>
  <si>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</si>
  <si>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</si>
  <si>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</si>
  <si>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</si>
  <si>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</si>
  <si>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</si>
  <si>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</si>
  <si>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</si>
  <si>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</si>
  <si>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</si>
  <si>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</si>
  <si>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</si>
  <si>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</si>
  <si>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</si>
  <si>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</si>
  <si>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</si>
  <si>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</si>
  <si>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</si>
  <si>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</si>
  <si>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</si>
  <si>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</si>
  <si>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</si>
  <si>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</si>
  <si>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</si>
  <si>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</si>
  <si>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</si>
  <si>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</si>
  <si>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</si>
  <si>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</si>
  <si>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</si>
  <si>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</si>
  <si>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</si>
  <si>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</si>
  <si>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</si>
  <si>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</si>
  <si>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</si>
  <si>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</si>
  <si>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</si>
  <si>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</si>
  <si>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</si>
  <si>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</si>
  <si>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</si>
  <si>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</si>
  <si>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</si>
  <si>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</si>
  <si>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</si>
  <si>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</si>
  <si>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</si>
  <si>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</si>
  <si>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</si>
  <si>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</si>
  <si>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</si>
  <si>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</si>
  <si>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</si>
  <si>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</si>
  <si>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</si>
  <si>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</si>
  <si>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</si>
  <si>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</si>
  <si>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</si>
  <si>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</si>
  <si>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</si>
  <si>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</si>
  <si>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</si>
  <si>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</si>
  <si>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</si>
  <si>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</si>
  <si>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</si>
  <si>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</si>
  <si>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</si>
  <si>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</si>
  <si>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</si>
  <si>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</si>
  <si>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</si>
  <si>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</si>
  <si>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</si>
  <si>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</si>
  <si>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</si>
  <si>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</si>
  <si>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</si>
  <si>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</si>
  <si>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</si>
  <si>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</si>
  <si>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</si>
  <si>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</si>
  <si>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</si>
  <si>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</si>
  <si>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</si>
  <si>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</si>
  <si>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</si>
  <si>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</si>
  <si>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</si>
  <si>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</si>
  <si>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</si>
  <si>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</si>
  <si>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</si>
  <si>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</si>
  <si>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</si>
  <si>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</si>
  <si>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</si>
  <si>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</si>
  <si>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</si>
  <si>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</si>
  <si>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</si>
  <si>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</si>
  <si>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</si>
  <si>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</si>
  <si>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</si>
  <si>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</si>
  <si>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</si>
  <si>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</si>
  <si>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</si>
  <si>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</si>
  <si>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</si>
  <si>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</si>
  <si>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</si>
  <si>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</si>
  <si>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</si>
  <si>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</si>
  <si>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</si>
  <si>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</si>
  <si>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</si>
  <si>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</si>
  <si>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</si>
  <si>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</si>
  <si>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</si>
  <si>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</si>
  <si>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</si>
  <si>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</si>
  <si>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</si>
  <si>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</si>
  <si>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</si>
  <si>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</si>
  <si>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</si>
  <si>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</si>
  <si>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</si>
  <si>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</si>
  <si>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</si>
  <si>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</si>
  <si>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</si>
  <si>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</si>
  <si>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</si>
  <si>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</si>
  <si>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</si>
  <si>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</si>
  <si>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</si>
  <si>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</si>
  <si>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</si>
  <si>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</si>
  <si>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</si>
  <si>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</si>
  <si>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</si>
  <si>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</si>
  <si>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</si>
  <si>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</si>
  <si>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</si>
  <si>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</si>
  <si>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</si>
  <si>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</si>
  <si>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</si>
  <si>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</si>
  <si>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</si>
  <si>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</si>
  <si>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</si>
  <si>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</si>
  <si>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</si>
  <si>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</si>
  <si>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</si>
  <si>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</si>
  <si>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</si>
  <si>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</si>
  <si>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</si>
  <si>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</si>
  <si>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</si>
  <si>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</si>
  <si>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</si>
  <si>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</si>
  <si>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</si>
  <si>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</si>
  <si>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</si>
  <si>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</si>
  <si>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</si>
  <si>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</si>
  <si>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</si>
  <si>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</si>
  <si>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</si>
  <si>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</si>
  <si>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</si>
  <si>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</si>
  <si>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</si>
  <si>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</si>
  <si>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</si>
  <si>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</si>
  <si>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</si>
  <si>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</si>
  <si>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</si>
  <si>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</si>
  <si>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</si>
  <si>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</si>
  <si>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</si>
  <si>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</si>
  <si>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</si>
  <si>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</si>
  <si>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</si>
  <si>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</si>
  <si>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</si>
  <si>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</si>
  <si>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</si>
  <si>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</si>
  <si>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</si>
  <si>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</si>
  <si>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</si>
  <si>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</si>
  <si>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</si>
  <si>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</si>
  <si>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</si>
  <si>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</si>
  <si>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</si>
  <si>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</si>
  <si>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</si>
  <si>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</si>
  <si>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</si>
  <si>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</si>
  <si>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</si>
  <si>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</si>
  <si>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</si>
  <si>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</si>
  <si>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</si>
  <si>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</si>
  <si>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</si>
  <si>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</si>
  <si>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</si>
  <si>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</si>
  <si>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</si>
  <si>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</si>
  <si>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</si>
  <si>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</si>
  <si>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</si>
  <si>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</si>
  <si>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</si>
  <si>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</si>
  <si>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</si>
  <si>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</si>
  <si>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</si>
  <si>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</si>
  <si>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</si>
  <si>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</si>
  <si>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</si>
  <si>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</si>
  <si>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</si>
  <si>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</si>
  <si>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</si>
  <si>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</si>
  <si>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</si>
  <si>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</si>
  <si>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</si>
  <si>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</si>
  <si>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</si>
  <si>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</si>
  <si>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</si>
  <si>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</si>
  <si>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</si>
  <si>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</si>
  <si>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</si>
  <si>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</si>
  <si>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</si>
  <si>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</si>
  <si>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</si>
  <si>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</si>
  <si>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</si>
  <si>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</si>
  <si>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</si>
  <si>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</si>
  <si>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</si>
  <si>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</si>
  <si>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</si>
  <si>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</si>
  <si>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</si>
  <si>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</si>
  <si>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</si>
  <si>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</si>
  <si>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</si>
  <si>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</si>
  <si>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</si>
  <si>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</si>
  <si>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</si>
  <si>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</si>
  <si>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</si>
  <si>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</si>
  <si>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</si>
  <si>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</si>
  <si>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</si>
  <si>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</si>
  <si>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</si>
  <si>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</si>
  <si>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</si>
  <si>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</si>
  <si>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</si>
  <si>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</si>
  <si>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</si>
  <si>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</si>
  <si>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</si>
  <si>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</si>
  <si>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</si>
  <si>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</si>
  <si>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</si>
  <si>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</si>
  <si>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</si>
  <si>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</si>
  <si>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</si>
  <si>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</si>
  <si>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</si>
  <si>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</si>
  <si>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</si>
  <si>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</si>
  <si>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</si>
  <si>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</si>
  <si>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</si>
  <si>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</si>
  <si>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</si>
  <si>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</si>
  <si>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</si>
  <si>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</si>
  <si>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</si>
  <si>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</si>
  <si>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</si>
  <si>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</si>
  <si>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</si>
  <si>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</si>
  <si>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</si>
  <si>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</si>
  <si>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</si>
  <si>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</si>
  <si>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</si>
  <si>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</si>
  <si>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</si>
  <si>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</si>
  <si>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</si>
  <si>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</si>
  <si>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</si>
  <si>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</si>
  <si>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</si>
  <si>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</si>
  <si>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</si>
  <si>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</si>
  <si>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</si>
  <si>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</si>
  <si>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</si>
  <si>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</si>
  <si>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</si>
  <si>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</si>
  <si>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</si>
  <si>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</si>
  <si>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</si>
  <si>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</si>
  <si>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</si>
  <si>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</si>
  <si>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</si>
  <si>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</si>
  <si>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</si>
  <si>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</si>
  <si>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</si>
  <si>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</si>
  <si>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</si>
  <si>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</si>
  <si>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</si>
  <si>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</si>
  <si>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</si>
  <si>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</si>
  <si>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</si>
  <si>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</si>
  <si>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</si>
  <si>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</si>
  <si>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</si>
  <si>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</si>
  <si>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</si>
  <si>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</si>
  <si>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</si>
  <si>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</si>
  <si>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</si>
  <si>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</si>
  <si>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</si>
  <si>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</si>
  <si>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</si>
  <si>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</si>
  <si>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</si>
  <si>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</si>
  <si>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</si>
  <si>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</si>
  <si>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</si>
  <si>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</si>
  <si>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</si>
  <si>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</si>
  <si>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</si>
  <si>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</si>
  <si>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</si>
  <si>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</si>
  <si>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</si>
  <si>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</si>
  <si>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</si>
  <si>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</si>
  <si>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</si>
  <si>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</si>
  <si>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</si>
  <si>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</si>
  <si>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</si>
  <si>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</si>
  <si>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</si>
  <si>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</si>
  <si>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</si>
  <si>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</si>
  <si>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</si>
  <si>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</si>
  <si>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</si>
  <si>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</si>
  <si>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</si>
  <si>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</si>
  <si>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</si>
  <si>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</si>
  <si>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</si>
  <si>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</si>
  <si>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</si>
  <si>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</si>
  <si>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</si>
  <si>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</si>
  <si>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</si>
  <si>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</si>
  <si>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</si>
  <si>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</si>
  <si>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</si>
  <si>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</si>
  <si>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</si>
  <si>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</si>
  <si>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</si>
  <si>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</si>
  <si>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</si>
  <si>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</si>
  <si>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</si>
  <si>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</si>
  <si>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</si>
  <si>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</si>
  <si>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</si>
  <si>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</si>
  <si>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</si>
  <si>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</si>
  <si>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</si>
  <si>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</si>
  <si>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</si>
  <si>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</si>
  <si>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</si>
  <si>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</si>
  <si>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</si>
  <si>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</si>
  <si>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</si>
  <si>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</si>
  <si>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</si>
  <si>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</si>
  <si>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</si>
  <si>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</si>
  <si>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</si>
  <si>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</si>
  <si>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</si>
  <si>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</si>
  <si>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</si>
  <si>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</si>
  <si>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</si>
  <si>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</si>
  <si>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</si>
  <si>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</si>
  <si>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</si>
  <si>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</si>
  <si>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</si>
  <si>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</si>
  <si>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</si>
  <si>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</si>
  <si>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</si>
  <si>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</si>
  <si>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</si>
  <si>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</si>
  <si>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</si>
  <si>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</si>
  <si>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</si>
  <si>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</si>
  <si>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</si>
  <si>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</si>
  <si>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</si>
  <si>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</si>
  <si>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</si>
  <si>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</si>
  <si>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</si>
  <si>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</si>
  <si>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</si>
  <si>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</si>
  <si>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</si>
  <si>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</si>
  <si>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</si>
  <si>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</si>
  <si>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</si>
  <si>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</si>
  <si>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</si>
  <si>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</si>
  <si>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</si>
  <si>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</si>
  <si>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</si>
  <si>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</si>
  <si>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</si>
  <si>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</si>
  <si>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</si>
  <si>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</si>
  <si>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</si>
  <si>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</si>
  <si>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</si>
  <si>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</si>
  <si>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</si>
  <si>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</si>
  <si>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</si>
  <si>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</si>
  <si>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</si>
  <si>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</si>
  <si>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</si>
  <si>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</si>
  <si>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</si>
  <si>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</si>
  <si>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</si>
  <si>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</si>
  <si>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</si>
  <si>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</si>
  <si>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</si>
  <si>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</si>
  <si>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</si>
  <si>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</si>
  <si>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</si>
  <si>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</si>
  <si>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</si>
  <si>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</si>
  <si>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</si>
  <si>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</si>
  <si>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</si>
  <si>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</si>
  <si>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</si>
  <si>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</si>
  <si>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</si>
  <si>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</si>
  <si>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</si>
  <si>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</si>
  <si>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</si>
  <si>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</si>
  <si>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</si>
  <si>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</si>
  <si>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</si>
  <si>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</si>
  <si>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</si>
  <si>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</si>
  <si>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</si>
  <si>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</si>
  <si>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</si>
  <si>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</si>
  <si>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</si>
  <si>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</si>
  <si>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</si>
  <si>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</si>
  <si>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</si>
  <si>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</si>
  <si>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</si>
  <si>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</si>
  <si>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</si>
  <si>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</si>
  <si>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</si>
  <si>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</si>
  <si>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</si>
  <si>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</si>
  <si>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</si>
  <si>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</si>
  <si>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</si>
  <si>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</si>
  <si>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</si>
  <si>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</si>
  <si>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</si>
  <si>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</si>
  <si>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</si>
  <si>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</si>
  <si>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</si>
  <si>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</si>
  <si>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</si>
  <si>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</si>
  <si>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</si>
  <si>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</si>
  <si>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</si>
  <si>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</si>
  <si>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</si>
  <si>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</si>
  <si>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</si>
  <si>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</si>
  <si>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</si>
  <si>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</si>
  <si>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</si>
  <si>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</si>
  <si>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</si>
  <si>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</si>
  <si>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</si>
  <si>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</si>
  <si>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</si>
  <si>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</si>
  <si>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</si>
  <si>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</si>
  <si>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</si>
  <si>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</si>
  <si>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</si>
  <si>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</si>
  <si>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</si>
  <si>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</si>
  <si>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</si>
  <si>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</si>
  <si>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</si>
  <si>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</si>
  <si>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</si>
  <si>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</si>
  <si>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</si>
  <si>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</si>
  <si>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</si>
  <si>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</si>
  <si>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</si>
  <si>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</si>
  <si>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</si>
  <si>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</si>
  <si>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</si>
  <si>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</si>
  <si>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</si>
  <si>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</si>
  <si>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</si>
  <si>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</si>
  <si>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</si>
  <si>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</si>
  <si>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</si>
  <si>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</si>
  <si>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</si>
  <si>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</si>
  <si>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</si>
  <si>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</si>
  <si>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</si>
  <si>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</si>
  <si>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</si>
  <si>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</si>
  <si>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</si>
  <si>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</si>
  <si>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</si>
  <si>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</si>
  <si>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</si>
  <si>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</si>
  <si>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</si>
  <si>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</si>
  <si>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</si>
  <si>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</si>
  <si>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</si>
  <si>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</si>
  <si>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</si>
  <si>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</si>
  <si>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</si>
  <si>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</si>
  <si>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</si>
  <si>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</si>
  <si>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</si>
  <si>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</si>
  <si>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</si>
  <si>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</si>
  <si>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</si>
  <si>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</si>
  <si>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</si>
  <si>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</si>
  <si>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</si>
  <si>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</si>
  <si>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</si>
  <si>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</si>
  <si>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</si>
  <si>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</si>
  <si>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</si>
  <si>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</si>
  <si>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</si>
  <si>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</si>
  <si>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</si>
  <si>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</si>
  <si>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</si>
  <si>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</si>
  <si>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</si>
  <si>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</si>
  <si>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</si>
  <si>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</si>
  <si>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</si>
  <si>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</si>
  <si>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</si>
  <si>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</si>
  <si>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</si>
  <si>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</si>
  <si>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</si>
  <si>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</si>
  <si>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</si>
  <si>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</si>
  <si>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</si>
  <si>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</si>
  <si>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</si>
  <si>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</si>
  <si>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</si>
  <si>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</si>
  <si>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</si>
  <si>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</si>
  <si>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</si>
  <si>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</si>
  <si>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</si>
  <si>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</si>
  <si>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</si>
  <si>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</si>
  <si>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</si>
  <si>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</si>
  <si>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</si>
  <si>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</si>
  <si>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</si>
  <si>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</si>
  <si>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</si>
  <si>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</si>
  <si>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</si>
  <si>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</si>
  <si>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</si>
  <si>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</si>
  <si>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</si>
  <si>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</si>
  <si>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</si>
  <si>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</si>
  <si>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</si>
  <si>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</si>
  <si>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</si>
  <si>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</si>
  <si>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</si>
  <si>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</si>
  <si>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</si>
  <si>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</si>
  <si>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</si>
  <si>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</si>
  <si>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</si>
  <si>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</si>
  <si>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</si>
  <si>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</si>
  <si>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</si>
  <si>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</si>
  <si>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</si>
  <si>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</si>
  <si>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</si>
  <si>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</si>
  <si>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</si>
  <si>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</si>
  <si>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</si>
  <si>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</si>
  <si>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</si>
  <si>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</si>
  <si>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</si>
  <si>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</si>
  <si>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</si>
  <si>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</si>
  <si>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</si>
  <si>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</si>
  <si>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</si>
  <si>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</si>
  <si>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</si>
  <si>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</si>
  <si>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</si>
  <si>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</si>
  <si>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</si>
  <si>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</si>
  <si>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</si>
  <si>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</si>
  <si>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</si>
  <si>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</si>
  <si>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</si>
  <si>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</si>
  <si>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</si>
  <si>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</si>
  <si>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</si>
  <si>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</si>
  <si>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</si>
  <si>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</si>
  <si>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</si>
  <si>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</si>
  <si>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</si>
  <si>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</si>
  <si>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</si>
  <si>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</si>
  <si>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</si>
  <si>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</si>
  <si>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</si>
  <si>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</si>
  <si>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</si>
  <si>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</si>
  <si>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</si>
  <si>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</si>
  <si>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</si>
  <si>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</si>
  <si>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</si>
  <si>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</si>
  <si>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</si>
  <si>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</si>
  <si>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</si>
  <si>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</si>
  <si>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</si>
  <si>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</si>
  <si>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</si>
  <si>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</si>
  <si>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</si>
  <si>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</si>
  <si>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</si>
  <si>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</si>
  <si>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</si>
  <si>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</si>
  <si>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</si>
  <si>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</si>
  <si>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</si>
  <si>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</si>
  <si>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</si>
  <si>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</si>
  <si>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</si>
  <si>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</si>
  <si>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</si>
  <si>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</si>
  <si>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</si>
  <si>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</si>
  <si>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</si>
  <si>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</si>
  <si>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</si>
  <si>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</si>
  <si>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</si>
  <si>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</si>
  <si>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</si>
  <si>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</si>
  <si>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</si>
  <si>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</si>
  <si>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</si>
  <si>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</si>
  <si>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</si>
  <si>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</si>
  <si>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</si>
  <si>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</si>
  <si>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</si>
  <si>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</si>
  <si>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</si>
  <si>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</si>
  <si>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</si>
  <si>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</si>
  <si>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</si>
  <si>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</si>
  <si>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</si>
  <si>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</si>
  <si>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</si>
  <si>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</si>
  <si>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</si>
  <si>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</si>
  <si>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</si>
  <si>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</si>
  <si>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</si>
  <si>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</si>
  <si>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</si>
  <si>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</si>
  <si>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</si>
  <si>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</si>
  <si>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</si>
  <si>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</si>
  <si>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</si>
  <si>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</si>
  <si>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</si>
  <si>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</si>
  <si>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</si>
  <si>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</si>
  <si>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</si>
  <si>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</si>
  <si>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</si>
  <si>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</si>
  <si>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</si>
  <si>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</si>
  <si>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</si>
  <si>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</si>
  <si>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</si>
  <si>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</si>
  <si>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</si>
  <si>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</si>
  <si>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</si>
  <si>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</si>
  <si>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</si>
  <si>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</si>
  <si>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</si>
  <si>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</si>
  <si>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</si>
  <si>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</si>
  <si>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</si>
  <si>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</si>
  <si>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</si>
  <si>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</si>
  <si>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</si>
  <si>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</si>
  <si>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</si>
  <si>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</si>
  <si>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</si>
  <si>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</si>
  <si>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</si>
  <si>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</si>
  <si>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</si>
  <si>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</si>
  <si>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</si>
  <si>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</si>
  <si>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</si>
  <si>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</si>
  <si>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</si>
  <si>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</si>
  <si>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</si>
  <si>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</si>
  <si>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</si>
  <si>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</si>
  <si>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</si>
  <si>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</si>
  <si>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</si>
  <si>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</si>
  <si>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</si>
  <si>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</si>
  <si>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</si>
  <si>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</si>
  <si>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</si>
  <si>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</si>
  <si>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</si>
  <si>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</si>
  <si>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</si>
  <si>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</si>
  <si>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</si>
  <si>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</si>
  <si>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</si>
  <si>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</si>
  <si>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</si>
  <si>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</si>
  <si>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</si>
  <si>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</si>
  <si>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</si>
  <si>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</si>
  <si>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</si>
  <si>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</si>
  <si>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</si>
  <si>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</si>
  <si>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</si>
  <si>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</si>
  <si>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</si>
  <si>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</si>
  <si>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</si>
  <si>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</si>
  <si>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</si>
  <si>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</si>
  <si>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</si>
  <si>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</si>
  <si>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</si>
  <si>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</si>
  <si>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</si>
  <si>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</si>
  <si>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</si>
  <si>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</si>
  <si>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</si>
  <si>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</si>
  <si>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</si>
  <si>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</si>
  <si>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</si>
  <si>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</si>
  <si>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</si>
  <si>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</si>
  <si>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</si>
  <si>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</si>
  <si>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</si>
  <si>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</si>
  <si>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</si>
  <si>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</si>
  <si>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</si>
  <si>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</si>
  <si>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</si>
  <si>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</si>
  <si>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</si>
  <si>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</si>
  <si>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</si>
  <si>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</si>
  <si>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</si>
  <si>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</si>
  <si>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</si>
  <si>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</si>
  <si>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</si>
  <si>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</si>
  <si>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</si>
  <si>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</si>
  <si>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</si>
  <si>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</si>
  <si>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</si>
  <si>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</si>
  <si>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</si>
  <si>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</si>
  <si>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</si>
  <si>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</si>
  <si>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</si>
  <si>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</si>
  <si>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</si>
  <si>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</si>
  <si>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</si>
  <si>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</si>
  <si>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</si>
  <si>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</si>
  <si>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</si>
  <si>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</si>
  <si>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</si>
  <si>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</si>
  <si>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</si>
  <si>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</si>
  <si>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</si>
  <si>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</si>
  <si>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</si>
  <si>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</si>
  <si>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</si>
  <si>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</si>
  <si>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</si>
  <si>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</si>
  <si>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</si>
  <si>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</si>
  <si>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</si>
  <si>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</si>
  <si>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</si>
  <si>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</si>
  <si>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</si>
  <si>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</si>
  <si>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</si>
  <si>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</si>
  <si>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</si>
  <si>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</si>
  <si>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</si>
  <si>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</si>
  <si>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</si>
  <si>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</si>
  <si>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</si>
  <si>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</si>
  <si>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</si>
  <si>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</si>
  <si>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</si>
  <si>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</si>
  <si>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</si>
  <si>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</si>
  <si>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</si>
  <si>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</si>
  <si>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</si>
  <si>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</si>
  <si>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</si>
  <si>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</si>
  <si>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</si>
  <si>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</si>
  <si>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</si>
  <si>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</si>
  <si>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</si>
  <si>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</si>
  <si>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</si>
  <si>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</si>
  <si>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</si>
  <si>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</si>
  <si>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</si>
  <si>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</si>
  <si>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</si>
  <si>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</si>
  <si>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</si>
  <si>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</si>
  <si>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</si>
  <si>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</si>
  <si>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</si>
  <si>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</si>
  <si>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</si>
  <si>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</si>
  <si>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</si>
  <si>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</si>
  <si>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</si>
  <si>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</si>
  <si>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</si>
  <si>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</si>
  <si>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</si>
  <si>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</si>
  <si>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</si>
  <si>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</si>
  <si>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</si>
  <si>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</si>
  <si>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</si>
  <si>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</si>
  <si>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</si>
  <si>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</si>
  <si>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</si>
  <si>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</si>
  <si>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</si>
  <si>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</si>
  <si>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</si>
  <si>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</si>
  <si>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</si>
  <si>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</si>
  <si>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</si>
  <si>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</si>
  <si>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</si>
  <si>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</si>
  <si>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</si>
  <si>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</si>
  <si>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</si>
  <si>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</si>
  <si>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</si>
  <si>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</si>
  <si>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</si>
  <si>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</si>
  <si>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</si>
  <si>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</si>
  <si>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</si>
  <si>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</si>
  <si>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</si>
  <si>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</si>
  <si>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</si>
  <si>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</si>
  <si>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</si>
  <si>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</si>
  <si>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</si>
  <si>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</si>
  <si>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</si>
  <si>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</si>
  <si>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</si>
  <si>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</si>
  <si>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</si>
  <si>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</si>
  <si>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</si>
  <si>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</si>
  <si>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</si>
  <si>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</si>
  <si>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</si>
  <si>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</si>
  <si>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</si>
  <si>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</si>
  <si>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</si>
  <si>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</si>
  <si>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</si>
  <si>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</si>
  <si>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</si>
  <si>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</si>
  <si>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</si>
  <si>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</si>
  <si>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</si>
  <si>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</si>
  <si>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</si>
  <si>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</si>
  <si>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</si>
  <si>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</si>
  <si>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</si>
  <si>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</si>
  <si>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</si>
  <si>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</si>
  <si>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</si>
  <si>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</si>
  <si>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</si>
  <si>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</si>
  <si>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</si>
  <si>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</si>
  <si>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</si>
  <si>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</si>
  <si>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</si>
  <si>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</si>
  <si>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</si>
  <si>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</si>
  <si>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</si>
  <si>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</si>
  <si>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</si>
  <si>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</si>
  <si>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</si>
  <si>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</si>
  <si>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</si>
  <si>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</si>
  <si>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</si>
  <si>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</si>
  <si>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</si>
  <si>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</si>
  <si>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</si>
  <si>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</si>
  <si>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</si>
  <si>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</si>
  <si>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</si>
  <si>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</si>
  <si>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</si>
  <si>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</si>
  <si>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</si>
  <si>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</si>
  <si>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</si>
  <si>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</si>
  <si>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</si>
  <si>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</si>
  <si>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</si>
  <si>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</si>
  <si>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</si>
  <si>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</si>
  <si>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</si>
  <si>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</si>
  <si>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</si>
  <si>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</si>
  <si>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</si>
  <si>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</si>
  <si>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</si>
  <si>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</si>
  <si>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</si>
  <si>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</si>
  <si>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</si>
  <si>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</si>
  <si>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</si>
  <si>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</si>
  <si>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</si>
  <si>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</si>
  <si>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</si>
  <si>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</si>
  <si>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</si>
  <si>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</si>
  <si>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</si>
  <si>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</si>
  <si>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</si>
  <si>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</si>
  <si>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</si>
  <si>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</si>
  <si>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</si>
  <si>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</si>
  <si>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</si>
  <si>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</si>
  <si>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</si>
  <si>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</si>
  <si>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</si>
  <si>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</si>
  <si>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</si>
  <si>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</si>
  <si>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</si>
  <si>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</si>
  <si>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</si>
  <si>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</si>
  <si>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</si>
  <si>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</si>
  <si>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</si>
  <si>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</si>
  <si>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</si>
  <si>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</si>
  <si>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</si>
  <si>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</si>
  <si>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</si>
  <si>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</si>
  <si>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</si>
  <si>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</si>
  <si>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</si>
  <si>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</si>
  <si>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</si>
  <si>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</si>
  <si>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</si>
  <si>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</si>
  <si>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</si>
  <si>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</si>
  <si>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</si>
  <si>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</si>
  <si>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</si>
  <si>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</si>
  <si>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</si>
  <si>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</si>
  <si>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</si>
  <si>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</si>
  <si>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</si>
  <si>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</si>
  <si>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</si>
  <si>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</si>
  <si>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</si>
  <si>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</si>
  <si>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</si>
  <si>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</si>
  <si>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</si>
  <si>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</si>
  <si>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</si>
  <si>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</si>
  <si>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</si>
  <si>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</si>
  <si>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</si>
  <si>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</si>
  <si>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</si>
  <si>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</si>
  <si>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</si>
  <si>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</si>
  <si>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</si>
  <si>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</si>
  <si>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</si>
  <si>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</si>
  <si>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</si>
  <si>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</si>
  <si>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</si>
  <si>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</si>
  <si>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</si>
  <si>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</si>
  <si>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</si>
  <si>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</si>
  <si>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</si>
  <si>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</si>
  <si>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</si>
  <si>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</si>
  <si>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</si>
  <si>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</si>
  <si>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</si>
  <si>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</si>
  <si>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</si>
  <si>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</si>
  <si>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</si>
  <si>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</si>
  <si>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</si>
  <si>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</si>
  <si>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</si>
  <si>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</si>
  <si>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</si>
  <si>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</si>
  <si>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</si>
  <si>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</si>
  <si>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</si>
  <si>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</si>
  <si>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</si>
  <si>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</si>
  <si>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</si>
  <si>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</si>
  <si>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</si>
  <si>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</si>
  <si>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</si>
  <si>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</si>
  <si>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</si>
  <si>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</si>
  <si>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</si>
  <si>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</si>
  <si>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</si>
  <si>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</si>
  <si>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</si>
  <si>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</si>
  <si>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</si>
  <si>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</si>
  <si>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</si>
  <si>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</si>
  <si>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</si>
  <si>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</si>
  <si>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</si>
  <si>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</si>
  <si>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</si>
  <si>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</si>
  <si>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</si>
  <si>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</si>
  <si>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</si>
  <si>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</si>
  <si>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</si>
  <si>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</si>
  <si>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</si>
  <si>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</si>
  <si>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</si>
  <si>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</si>
  <si>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</si>
  <si>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</si>
  <si>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</si>
  <si>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</si>
  <si>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</si>
  <si>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</si>
  <si>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</si>
  <si>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</si>
  <si>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</si>
  <si>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</si>
  <si>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</si>
  <si>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</si>
  <si>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</si>
  <si>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</si>
  <si>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</si>
  <si>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</si>
  <si>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</si>
  <si>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</si>
  <si>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</si>
  <si>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</si>
  <si>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</si>
  <si>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</si>
  <si>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</si>
  <si>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</si>
  <si>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</si>
  <si>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</si>
  <si>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</si>
  <si>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</si>
  <si>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</si>
  <si>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</si>
  <si>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</si>
  <si>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</si>
  <si>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</si>
  <si>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</si>
  <si>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</si>
  <si>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</si>
  <si>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</si>
  <si>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</si>
  <si>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</si>
  <si>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</si>
  <si>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</si>
  <si>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</si>
  <si>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</si>
  <si>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</si>
  <si>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</si>
  <si>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</si>
  <si>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</si>
  <si>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</si>
  <si>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</si>
  <si>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</si>
  <si>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</si>
  <si>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</si>
  <si>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</si>
  <si>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</si>
  <si>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</si>
  <si>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</si>
  <si>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</si>
  <si>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</si>
  <si>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</si>
  <si>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</si>
  <si>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</si>
  <si>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</si>
  <si>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</si>
  <si>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</si>
  <si>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</si>
  <si>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</si>
  <si>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</si>
  <si>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</si>
  <si>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</si>
  <si>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</si>
  <si>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</si>
  <si>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</si>
  <si>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</si>
  <si>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</si>
  <si>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</si>
  <si>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</si>
  <si>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</si>
  <si>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</si>
  <si>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</si>
  <si>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</si>
  <si>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</si>
  <si>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</si>
  <si>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</si>
  <si>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</si>
  <si>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</si>
  <si>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</si>
  <si>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</si>
  <si>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</si>
  <si>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</si>
  <si>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</si>
  <si>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</si>
  <si>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</si>
  <si>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</si>
  <si>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</si>
  <si>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</si>
  <si>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</si>
  <si>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</si>
  <si>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</si>
  <si>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</si>
  <si>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</si>
  <si>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</si>
  <si>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</si>
  <si>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</si>
  <si>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</si>
  <si>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</si>
  <si>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</si>
  <si>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</si>
  <si>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</si>
  <si>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</si>
  <si>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</si>
  <si>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</si>
  <si>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</si>
  <si>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</si>
  <si>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</si>
  <si>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</si>
  <si>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</si>
  <si>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</si>
  <si>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</si>
  <si>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</si>
  <si>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</si>
  <si>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</si>
  <si>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</si>
  <si>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</si>
  <si>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</si>
  <si>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</si>
  <si>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</si>
  <si>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</si>
  <si>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</si>
  <si>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</si>
  <si>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</si>
  <si>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</si>
  <si>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</si>
  <si>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</si>
  <si>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</si>
  <si>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</si>
  <si>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</si>
  <si>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</si>
  <si>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</si>
  <si>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</si>
  <si>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</si>
  <si>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</si>
  <si>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</si>
  <si>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</si>
  <si>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</si>
  <si>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</si>
  <si>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</si>
  <si>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</si>
  <si>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</si>
  <si>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</si>
  <si>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</si>
  <si>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</si>
  <si>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</si>
  <si>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</si>
  <si>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</si>
  <si>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</si>
  <si>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</si>
  <si>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</si>
  <si>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</si>
  <si>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</si>
  <si>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</si>
  <si>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</si>
  <si>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</si>
  <si>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</si>
  <si>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</si>
  <si>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</si>
  <si>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</si>
  <si>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</si>
  <si>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</si>
  <si>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</si>
  <si>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</si>
  <si>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</si>
  <si>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</si>
  <si>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</si>
  <si>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</si>
  <si>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</si>
  <si>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</si>
  <si>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</si>
  <si>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</si>
  <si>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</si>
  <si>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</si>
  <si>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</si>
  <si>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</si>
  <si>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</si>
  <si>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</si>
  <si>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</si>
  <si>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</si>
  <si>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</si>
  <si>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</si>
  <si>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</si>
  <si>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</si>
  <si>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</si>
  <si>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</si>
  <si>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</si>
  <si>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</si>
  <si>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</si>
  <si>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</si>
  <si>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</si>
  <si>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</si>
  <si>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</si>
  <si>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</si>
  <si>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</si>
  <si>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</si>
  <si>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</si>
  <si>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</si>
  <si>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</si>
  <si>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</si>
  <si>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</si>
  <si>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</si>
  <si>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</si>
  <si>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</si>
  <si>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</si>
  <si>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</si>
  <si>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</si>
  <si>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</si>
  <si>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</si>
  <si>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</si>
  <si>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</si>
  <si>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</si>
  <si>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</si>
  <si>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</si>
  <si>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</si>
  <si>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</si>
  <si>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</si>
  <si>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</si>
  <si>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</si>
  <si>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</si>
  <si>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</si>
  <si>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</si>
  <si>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</si>
  <si>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</si>
  <si>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</si>
  <si>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</si>
  <si>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</si>
  <si>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</si>
  <si>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</si>
  <si>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</si>
  <si>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</si>
  <si>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</si>
  <si>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</si>
  <si>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</si>
  <si>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</si>
  <si>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</si>
  <si>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</si>
  <si>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</si>
  <si>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</si>
  <si>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</si>
  <si>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</si>
  <si>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</si>
  <si>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</si>
  <si>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</si>
  <si>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</si>
  <si>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</si>
  <si>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</si>
  <si>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</si>
  <si>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</si>
  <si>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</si>
  <si>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</si>
  <si>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</si>
  <si>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</si>
  <si>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</si>
  <si>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</si>
  <si>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</si>
  <si>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</si>
  <si>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</si>
  <si>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</si>
  <si>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</si>
  <si>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</si>
  <si>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</si>
  <si>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</si>
  <si>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</si>
  <si>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</si>
  <si>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</si>
  <si>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</si>
  <si>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</si>
  <si>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</si>
  <si>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</si>
  <si>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</si>
  <si>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</si>
  <si>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</si>
  <si>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</si>
  <si>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</si>
  <si>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</si>
  <si>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</si>
  <si>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</si>
  <si>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</si>
  <si>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</si>
  <si>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</si>
  <si>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</si>
  <si>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</si>
  <si>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</si>
  <si>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</si>
  <si>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</si>
  <si>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</si>
  <si>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</si>
  <si>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</si>
  <si>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</si>
  <si>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</si>
  <si>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</si>
  <si>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</si>
  <si>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</si>
  <si>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</si>
  <si>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</si>
  <si>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</si>
  <si>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</si>
  <si>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</si>
  <si>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</si>
  <si>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</si>
  <si>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</si>
  <si>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</si>
  <si>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</si>
  <si>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</si>
  <si>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</si>
  <si>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</si>
  <si>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</si>
  <si>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</si>
  <si>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</si>
  <si>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</si>
  <si>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</si>
  <si>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</si>
  <si>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</si>
  <si>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</si>
  <si>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</si>
  <si>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</si>
  <si>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</si>
  <si>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</si>
  <si>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</si>
  <si>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</si>
  <si>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</si>
  <si>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</si>
  <si>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</si>
  <si>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</si>
  <si>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</si>
  <si>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</si>
  <si>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</si>
  <si>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</si>
  <si>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</si>
  <si>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</si>
  <si>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</si>
  <si>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</si>
  <si>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</si>
  <si>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</si>
  <si>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</si>
  <si>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</si>
  <si>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</si>
  <si>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</si>
  <si>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</si>
  <si>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</si>
  <si>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</si>
  <si>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</si>
  <si>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</si>
  <si>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</si>
  <si>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</si>
  <si>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</si>
  <si>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</si>
  <si>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</si>
  <si>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</si>
  <si>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</si>
  <si>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</si>
  <si>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</si>
  <si>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</si>
  <si>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</si>
  <si>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</si>
  <si>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</si>
  <si>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</si>
  <si>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</si>
  <si>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</si>
  <si>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</si>
  <si>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</si>
  <si>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</si>
  <si>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</si>
  <si>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</si>
  <si>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</si>
  <si>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</si>
  <si>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</si>
  <si>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</si>
  <si>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</si>
  <si>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</si>
  <si>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</si>
  <si>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</si>
  <si>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</si>
  <si>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</si>
  <si>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</si>
  <si>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</si>
  <si>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</si>
  <si>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</si>
  <si>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</si>
  <si>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</si>
  <si>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</si>
  <si>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</si>
  <si>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</si>
  <si>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</si>
  <si>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</si>
  <si>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</si>
  <si>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</si>
  <si>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</si>
  <si>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</si>
  <si>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</si>
  <si>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</si>
  <si>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</si>
  <si>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</si>
  <si>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</si>
  <si>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</si>
  <si>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</si>
  <si>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</si>
  <si>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</si>
  <si>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</si>
  <si>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</si>
  <si>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</si>
  <si>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</si>
  <si>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</si>
  <si>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</si>
  <si>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</si>
  <si>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</si>
  <si>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</si>
  <si>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</si>
  <si>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</si>
  <si>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</si>
  <si>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</si>
  <si>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</si>
  <si>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</si>
  <si>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</si>
  <si>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</si>
  <si>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</si>
  <si>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</si>
  <si>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</si>
  <si>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</si>
  <si>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</si>
  <si>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</si>
  <si>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</si>
  <si>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</si>
  <si>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</si>
  <si>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</si>
  <si>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</si>
  <si>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</si>
  <si>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</si>
  <si>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</si>
  <si>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</si>
  <si>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</si>
  <si>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</si>
  <si>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</si>
  <si>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</si>
  <si>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</si>
  <si>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</si>
  <si>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</si>
  <si>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</si>
  <si>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</si>
  <si>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</si>
  <si>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</si>
  <si>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</si>
  <si>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</si>
  <si>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</si>
  <si>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</si>
  <si>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</si>
  <si>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</si>
  <si>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</si>
  <si>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</si>
  <si>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</si>
  <si>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</si>
  <si>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</si>
  <si>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</si>
  <si>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</si>
  <si>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</si>
  <si>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</si>
  <si>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</si>
  <si>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</si>
  <si>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</si>
  <si>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</si>
  <si>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</si>
  <si>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</si>
  <si>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</si>
  <si>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</si>
  <si>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</si>
  <si>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</si>
  <si>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</si>
  <si>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</si>
  <si>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</si>
  <si>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</si>
  <si>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</si>
  <si>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</si>
  <si>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</si>
  <si>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</si>
  <si>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</si>
  <si>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</si>
  <si>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</si>
  <si>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</si>
  <si>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</si>
  <si>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</si>
  <si>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</si>
  <si>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</si>
  <si>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</si>
  <si>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</si>
  <si>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</si>
  <si>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</si>
  <si>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</si>
  <si>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</si>
  <si>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</si>
  <si>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</si>
  <si>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</si>
  <si>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</si>
  <si>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</si>
  <si>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</si>
  <si>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</si>
  <si>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</si>
  <si>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</si>
  <si>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</si>
  <si>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</si>
  <si>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</si>
  <si>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</si>
  <si>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</si>
  <si>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</si>
  <si>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</si>
  <si>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</si>
  <si>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</si>
  <si>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</si>
  <si>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</si>
  <si>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</si>
  <si>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</si>
  <si>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</si>
  <si>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</si>
  <si>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</si>
  <si>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</si>
  <si>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</si>
  <si>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</si>
  <si>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</si>
  <si>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</si>
  <si>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</si>
  <si>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</si>
  <si>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</si>
  <si>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</si>
  <si>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</si>
  <si>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</si>
  <si>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</si>
  <si>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</si>
  <si>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</si>
  <si>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</si>
  <si>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</si>
  <si>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</si>
  <si>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</si>
  <si>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</si>
  <si>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</si>
  <si>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</si>
  <si>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</si>
  <si>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</si>
  <si>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</si>
  <si>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</si>
  <si>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</si>
  <si>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</si>
  <si>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</si>
  <si>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</si>
  <si>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</si>
  <si>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</si>
  <si>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</si>
  <si>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</si>
  <si>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</si>
  <si>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</si>
  <si>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</si>
  <si>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</si>
  <si>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</si>
  <si>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</si>
  <si>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</si>
  <si>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</si>
  <si>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</si>
  <si>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</si>
  <si>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</si>
  <si>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</si>
  <si>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</si>
  <si>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</si>
  <si>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</si>
  <si>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</si>
  <si>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</si>
  <si>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</si>
  <si>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</si>
  <si>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</si>
  <si>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</si>
  <si>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</si>
  <si>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</si>
  <si>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</si>
  <si>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</si>
  <si>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</si>
  <si>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</si>
  <si>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</si>
  <si>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</si>
  <si>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</si>
  <si>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</si>
  <si>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</si>
  <si>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</si>
  <si>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</si>
  <si>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</si>
  <si>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</si>
  <si>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</si>
  <si>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</si>
  <si>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</si>
  <si>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</si>
  <si>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</si>
  <si>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</si>
  <si>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</si>
  <si>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</si>
  <si>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</si>
  <si>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</si>
  <si>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</si>
  <si>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</si>
  <si>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</si>
  <si>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</si>
  <si>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</si>
  <si>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</si>
  <si>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</si>
  <si>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</si>
  <si>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</si>
  <si>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</si>
  <si>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</si>
  <si>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</si>
  <si>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</si>
  <si>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</si>
  <si>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</si>
  <si>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</si>
  <si>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</si>
  <si>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</si>
  <si>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</si>
  <si>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</si>
  <si>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</si>
  <si>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</si>
  <si>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</si>
  <si>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</si>
  <si>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</si>
  <si>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</si>
  <si>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</si>
  <si>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</si>
  <si>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</si>
  <si>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</si>
  <si>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</si>
  <si>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</si>
  <si>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</si>
  <si>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</si>
  <si>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</si>
  <si>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</si>
  <si>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</si>
  <si>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</si>
  <si>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</si>
  <si>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</si>
  <si>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</si>
  <si>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</si>
  <si>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</si>
  <si>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</si>
  <si>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</si>
  <si>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</si>
  <si>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</si>
  <si>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</si>
  <si>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</si>
  <si>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</si>
  <si>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</si>
  <si>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</si>
  <si>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</si>
  <si>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</si>
  <si>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</si>
  <si>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</si>
  <si>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</si>
  <si>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</si>
  <si>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</si>
  <si>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</si>
  <si>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</si>
  <si>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</si>
  <si>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</si>
  <si>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</si>
  <si>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</si>
  <si>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</si>
  <si>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</si>
  <si>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</si>
  <si>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</si>
  <si>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</si>
  <si>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</si>
  <si>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</si>
  <si>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</si>
  <si>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</si>
  <si>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</si>
  <si>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</si>
  <si>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</si>
  <si>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</si>
  <si>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</si>
  <si>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</si>
  <si>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</si>
  <si>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</si>
  <si>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</si>
  <si>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</si>
  <si>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</si>
  <si>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</si>
  <si>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</si>
  <si>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</si>
  <si>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</si>
  <si>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</si>
  <si>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</si>
  <si>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</si>
  <si>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</si>
  <si>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</si>
  <si>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</si>
  <si>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</si>
  <si>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</si>
  <si>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</si>
  <si>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</si>
  <si>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</si>
  <si>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</si>
  <si>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</si>
  <si>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</si>
  <si>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</si>
  <si>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</si>
  <si>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</si>
  <si>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</si>
  <si>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</si>
  <si>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</si>
  <si>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</si>
  <si>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</si>
  <si>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</si>
  <si>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</si>
  <si>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</si>
  <si>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</si>
  <si>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</si>
  <si>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</si>
  <si>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</si>
  <si>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</si>
  <si>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</si>
  <si>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</si>
  <si>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</si>
  <si>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</si>
  <si>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</si>
  <si>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</si>
  <si>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</si>
  <si>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</si>
  <si>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</si>
  <si>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</si>
  <si>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</si>
  <si>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</si>
  <si>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</si>
  <si>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</si>
  <si>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</si>
  <si>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</si>
  <si>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</si>
  <si>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</si>
  <si>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</si>
  <si>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</si>
  <si>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</si>
  <si>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</si>
  <si>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</si>
  <si>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</si>
  <si>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</si>
  <si>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</si>
  <si>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</si>
  <si>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</si>
  <si>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</si>
  <si>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</si>
  <si>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</si>
  <si>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</si>
  <si>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</si>
  <si>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</si>
  <si>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</si>
  <si>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</si>
  <si>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</si>
  <si>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</si>
  <si>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</si>
  <si>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</si>
  <si>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</si>
  <si>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</si>
  <si>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</si>
  <si>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</si>
  <si>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</si>
  <si>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</si>
  <si>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</si>
  <si>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</si>
  <si>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</si>
  <si>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</si>
  <si>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</si>
  <si>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</si>
  <si>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</si>
  <si>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</si>
  <si>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</si>
  <si>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</si>
  <si>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</si>
  <si>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</si>
  <si>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</si>
  <si>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</si>
  <si>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</si>
  <si>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</si>
  <si>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</si>
  <si>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</si>
  <si>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</si>
  <si>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</si>
  <si>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</si>
  <si>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</si>
  <si>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</si>
  <si>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</si>
  <si>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</si>
  <si>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</si>
  <si>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</si>
  <si>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</si>
  <si>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</si>
  <si>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</si>
  <si>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</si>
  <si>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</si>
  <si>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</si>
  <si>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</si>
  <si>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</si>
  <si>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</si>
  <si>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</si>
  <si>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</si>
  <si>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</si>
  <si>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</si>
  <si>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</si>
  <si>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</si>
  <si>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</si>
  <si>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</si>
  <si>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</si>
  <si>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</si>
  <si>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</si>
  <si>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</si>
  <si>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</si>
  <si>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</si>
  <si>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</si>
  <si>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</si>
  <si>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</si>
  <si>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</si>
  <si>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</si>
  <si>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</si>
  <si>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</si>
  <si>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</si>
  <si>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</si>
  <si>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</si>
  <si>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</si>
  <si>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</si>
  <si>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</si>
  <si>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</si>
  <si>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</si>
  <si>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</si>
  <si>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</si>
  <si>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</si>
  <si>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</si>
  <si>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</si>
  <si>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</si>
  <si>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</si>
  <si>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</si>
  <si>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</si>
  <si>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</si>
  <si>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</si>
  <si>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</si>
  <si>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</si>
  <si>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</si>
  <si>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</si>
  <si>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</si>
  <si>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</si>
  <si>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</si>
  <si>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</si>
  <si>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</si>
  <si>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</si>
  <si>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</si>
  <si>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</si>
  <si>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</si>
  <si>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</si>
  <si>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</si>
  <si>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</si>
  <si>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</si>
  <si>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</si>
  <si>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</si>
  <si>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</si>
  <si>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</si>
  <si>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</si>
  <si>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</si>
  <si>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</si>
  <si>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</si>
  <si>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</si>
  <si>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</si>
  <si>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</si>
  <si>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</si>
  <si>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</si>
  <si>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</si>
  <si>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</si>
  <si>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</si>
  <si>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</si>
  <si>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</si>
  <si>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</si>
  <si>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</si>
  <si>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</si>
  <si>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</si>
  <si>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</si>
  <si>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</si>
  <si>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</si>
  <si>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</si>
  <si>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</si>
  <si>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</si>
  <si>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</si>
  <si>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</si>
  <si>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</si>
  <si>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</si>
  <si>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</si>
  <si>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</si>
  <si>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</si>
  <si>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</si>
  <si>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</si>
  <si>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</si>
  <si>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</si>
  <si>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</si>
  <si>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</si>
  <si>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</si>
  <si>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</si>
  <si>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</si>
  <si>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</si>
  <si>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</si>
  <si>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</si>
  <si>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</si>
  <si>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</si>
  <si>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</si>
  <si>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</si>
  <si>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</si>
  <si>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</si>
  <si>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</si>
  <si>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</si>
  <si>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</si>
  <si>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</si>
  <si>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</si>
  <si>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</si>
  <si>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</si>
  <si>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</si>
  <si>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</si>
  <si>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</si>
  <si>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</si>
  <si>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</si>
  <si>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</si>
  <si>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</si>
  <si>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</si>
  <si>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</si>
  <si>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</si>
  <si>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</si>
  <si>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</si>
  <si>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</si>
  <si>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</si>
  <si>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</si>
  <si>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</si>
  <si>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</si>
  <si>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</si>
  <si>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</si>
  <si>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</si>
  <si>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</si>
  <si>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</si>
  <si>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</si>
  <si>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</si>
  <si>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</si>
  <si>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</si>
  <si>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</si>
  <si>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</si>
  <si>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</si>
  <si>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</si>
  <si>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</si>
  <si>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</si>
  <si>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</si>
  <si>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</si>
  <si>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</si>
  <si>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</si>
  <si>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</si>
  <si>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</si>
  <si>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</si>
  <si>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</si>
  <si>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</si>
  <si>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</si>
  <si>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</si>
  <si>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</si>
  <si>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</si>
  <si>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</si>
  <si>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</si>
  <si>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</si>
  <si>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</si>
  <si>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</si>
  <si>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</si>
  <si>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</si>
  <si>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</si>
  <si>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</si>
  <si>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</si>
  <si>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</si>
  <si>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</si>
  <si>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</si>
  <si>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</si>
  <si>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</si>
  <si>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</si>
  <si>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</si>
  <si>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</si>
  <si>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</si>
  <si>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</si>
  <si>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</si>
  <si>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</si>
  <si>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</si>
  <si>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</si>
  <si>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</si>
  <si>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</si>
  <si>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</si>
  <si>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</si>
  <si>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</si>
  <si>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</si>
  <si>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</si>
  <si>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</si>
  <si>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</si>
  <si>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</si>
  <si>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</si>
  <si>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</si>
  <si>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</si>
  <si>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</si>
  <si>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</si>
  <si>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</si>
  <si>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</si>
  <si>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</si>
  <si>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</si>
  <si>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</si>
  <si>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</si>
  <si>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</si>
  <si>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</si>
  <si>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</si>
  <si>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</si>
  <si>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</si>
  <si>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</si>
  <si>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</si>
  <si>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</si>
  <si>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</si>
  <si>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</si>
  <si>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</si>
  <si>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</si>
  <si>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</si>
  <si>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</si>
  <si>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</si>
  <si>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</si>
  <si>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</si>
  <si>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</si>
  <si>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</si>
  <si>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</si>
  <si>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</si>
  <si>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</si>
  <si>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</si>
  <si>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</si>
  <si>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</si>
  <si>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</si>
  <si>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</si>
  <si>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</si>
  <si>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</si>
  <si>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</si>
  <si>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</si>
  <si>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</si>
  <si>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</si>
  <si>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</si>
  <si>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</si>
  <si>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</si>
  <si>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</si>
  <si>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</si>
  <si>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</si>
  <si>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</si>
  <si>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</si>
  <si>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</si>
  <si>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</si>
  <si>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</si>
  <si>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</si>
  <si>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</si>
  <si>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</si>
  <si>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</si>
  <si>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</si>
  <si>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</si>
  <si>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</si>
  <si>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</si>
  <si>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</si>
  <si>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</si>
  <si>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</si>
  <si>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</si>
  <si>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</si>
  <si>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</si>
  <si>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</si>
  <si>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</si>
  <si>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</si>
  <si>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</si>
  <si>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</si>
  <si>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</si>
  <si>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</si>
  <si>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</si>
  <si>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</si>
  <si>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</si>
  <si>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</si>
  <si>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</si>
  <si>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</si>
  <si>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Be prepared</t>
  </si>
  <si>
    <t>Cutting off kate Bush</t>
  </si>
  <si>
    <t>The Hitchhiker's guide to the family</t>
  </si>
  <si>
    <t>Blurb</t>
  </si>
  <si>
    <t>Goal</t>
  </si>
  <si>
    <t>Pledged</t>
  </si>
  <si>
    <t>Play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</si>
  <si>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</si>
  <si>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</si>
  <si>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</si>
  <si>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</si>
  <si>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</si>
  <si>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</si>
  <si>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</si>
  <si>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</si>
  <si>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</si>
  <si>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</si>
  <si>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</si>
  <si>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</si>
  <si>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</si>
  <si>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</si>
  <si>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</si>
  <si>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</si>
  <si>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</si>
  <si>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</si>
  <si>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50000</t>
  </si>
  <si>
    <t>More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</si>
</sst>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9" fontId="1" fillId="0" borderId="0" xfId="1" applyFont="1" applyAlignment="1">
      <alignment horizontal="center" vertical="center"/>
    </xf>
    <xf numFmtId="9" fontId="0" fillId="0" borderId="0" xfId="1" applyFont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20</c:v>
                </c:pt>
                <c:pt idx="1">
                  <c:v>22</c:v>
                </c:pt>
                <c:pt idx="2">
                  <c:v>33</c:v>
                </c:pt>
                <c:pt idx="3">
                  <c:v>29</c:v>
                </c:pt>
                <c:pt idx="4">
                  <c:v>34</c:v>
                </c:pt>
                <c:pt idx="5">
                  <c:v>20</c:v>
                </c:pt>
                <c:pt idx="6">
                  <c:v>24</c:v>
                </c:pt>
                <c:pt idx="7">
                  <c:v>17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83-453C-A8AA-BDBD611AA1F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8</c:v>
                </c:pt>
                <c:pt idx="1">
                  <c:v>14</c:v>
                </c:pt>
                <c:pt idx="2">
                  <c:v>18</c:v>
                </c:pt>
                <c:pt idx="3">
                  <c:v>7</c:v>
                </c:pt>
                <c:pt idx="4">
                  <c:v>16</c:v>
                </c:pt>
                <c:pt idx="5">
                  <c:v>18</c:v>
                </c:pt>
                <c:pt idx="6">
                  <c:v>5</c:v>
                </c:pt>
                <c:pt idx="7">
                  <c:v>7</c:v>
                </c:pt>
                <c:pt idx="8">
                  <c:v>11</c:v>
                </c:pt>
                <c:pt idx="9">
                  <c:v>9</c:v>
                </c:pt>
                <c:pt idx="10">
                  <c:v>11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83-453C-A8AA-BDBD611AA1F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8">
                  <c:v>2</c:v>
                </c:pt>
                <c:pt idx="1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83-453C-A8AA-BDBD611AA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7514096"/>
        <c:axId val="1047514928"/>
      </c:lineChart>
      <c:catAx>
        <c:axId val="104751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14928"/>
        <c:crosses val="autoZero"/>
        <c:auto val="1"/>
        <c:lblAlgn val="ctr"/>
        <c:lblOffset val="100"/>
        <c:noMultiLvlLbl val="0"/>
      </c:catAx>
      <c:valAx>
        <c:axId val="104751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1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Goals</a:t>
            </a:r>
          </a:p>
        </c:rich>
      </c:tx>
      <c:layout>
        <c:manualLayout>
          <c:xMode val="edge"/>
          <c:yMode val="edge"/>
          <c:x val="0.44619600863709907"/>
          <c:y val="1.56760255144801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More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91-49FC-8DF4-812004046C9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More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91-49FC-8DF4-812004046C9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More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91-49FC-8DF4-812004046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71375"/>
        <c:axId val="364760559"/>
      </c:lineChart>
      <c:catAx>
        <c:axId val="3647713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60559"/>
        <c:crosses val="autoZero"/>
        <c:auto val="1"/>
        <c:lblAlgn val="ctr"/>
        <c:lblOffset val="100"/>
        <c:noMultiLvlLbl val="0"/>
      </c:catAx>
      <c:valAx>
        <c:axId val="36476055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7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841487027236339"/>
          <c:y val="0.24587146564255458"/>
          <c:w val="0.15065616797900264"/>
          <c:h val="0.13226739102796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dates'!$B$5:$B$17</c:f>
              <c:numCache>
                <c:formatCode>General</c:formatCode>
                <c:ptCount val="12"/>
                <c:pt idx="0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6">
                  <c:v>5</c:v>
                </c:pt>
                <c:pt idx="7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AA-4CE8-8EFC-8B9F1E40B72C}"/>
            </c:ext>
          </c:extLst>
        </c:ser>
        <c:ser>
          <c:idx val="1"/>
          <c:order val="1"/>
          <c:tx>
            <c:strRef>
              <c:f>'Outcomes based on launch dates'!$C$3:$C$4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dates'!$C$5:$C$17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10</c:v>
                </c:pt>
                <c:pt idx="3">
                  <c:v>10</c:v>
                </c:pt>
                <c:pt idx="4">
                  <c:v>9</c:v>
                </c:pt>
                <c:pt idx="5">
                  <c:v>7</c:v>
                </c:pt>
                <c:pt idx="6">
                  <c:v>8</c:v>
                </c:pt>
                <c:pt idx="7">
                  <c:v>12</c:v>
                </c:pt>
                <c:pt idx="8">
                  <c:v>13</c:v>
                </c:pt>
                <c:pt idx="9">
                  <c:v>16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AA-4CE8-8EFC-8B9F1E40B72C}"/>
            </c:ext>
          </c:extLst>
        </c:ser>
        <c:ser>
          <c:idx val="2"/>
          <c:order val="2"/>
          <c:tx>
            <c:strRef>
              <c:f>'Outcomes based on launch dates'!$D$3:$D$4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dates'!$D$5:$D$17</c:f>
              <c:numCache>
                <c:formatCode>General</c:formatCode>
                <c:ptCount val="12"/>
                <c:pt idx="1">
                  <c:v>8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AA-4CE8-8EFC-8B9F1E40B72C}"/>
            </c:ext>
          </c:extLst>
        </c:ser>
        <c:ser>
          <c:idx val="3"/>
          <c:order val="3"/>
          <c:tx>
            <c:strRef>
              <c:f>'Outcomes based on launch dates'!$E$3:$E$4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dates'!$E$5:$E$17</c:f>
              <c:numCache>
                <c:formatCode>General</c:formatCode>
                <c:ptCount val="12"/>
                <c:pt idx="0">
                  <c:v>54</c:v>
                </c:pt>
                <c:pt idx="1">
                  <c:v>49</c:v>
                </c:pt>
                <c:pt idx="2">
                  <c:v>49</c:v>
                </c:pt>
                <c:pt idx="3">
                  <c:v>48</c:v>
                </c:pt>
                <c:pt idx="4">
                  <c:v>54</c:v>
                </c:pt>
                <c:pt idx="5">
                  <c:v>46</c:v>
                </c:pt>
                <c:pt idx="6">
                  <c:v>39</c:v>
                </c:pt>
                <c:pt idx="7">
                  <c:v>44</c:v>
                </c:pt>
                <c:pt idx="8">
                  <c:v>38</c:v>
                </c:pt>
                <c:pt idx="9">
                  <c:v>43</c:v>
                </c:pt>
                <c:pt idx="10">
                  <c:v>46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AA-4CE8-8EFC-8B9F1E40B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481520"/>
        <c:axId val="244478192"/>
      </c:lineChart>
      <c:catAx>
        <c:axId val="24448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478192"/>
        <c:crosses val="autoZero"/>
        <c:auto val="1"/>
        <c:lblAlgn val="ctr"/>
        <c:lblOffset val="100"/>
        <c:noMultiLvlLbl val="0"/>
      </c:catAx>
      <c:valAx>
        <c:axId val="24447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48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BB-4923-8723-5BB71D5AB40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BB-4923-8723-5BB71D5AB40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BB-4923-8723-5BB71D5AB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086703"/>
        <c:axId val="166088783"/>
      </c:barChart>
      <c:catAx>
        <c:axId val="16608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88783"/>
        <c:crosses val="autoZero"/>
        <c:auto val="1"/>
        <c:lblAlgn val="ctr"/>
        <c:lblOffset val="100"/>
        <c:noMultiLvlLbl val="0"/>
      </c:catAx>
      <c:valAx>
        <c:axId val="16608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8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</a:t>
            </a:r>
            <a:r>
              <a:rPr lang="en-CA" baseline="0"/>
              <a:t> outputs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73-4A6D-9AD8-961016E01C9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73-4A6D-9AD8-961016E01C9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73-4A6D-9AD8-961016E01C9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73-4A6D-9AD8-961016E01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5261119"/>
        <c:axId val="385262783"/>
      </c:barChart>
      <c:catAx>
        <c:axId val="3852611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62783"/>
        <c:crosses val="autoZero"/>
        <c:auto val="1"/>
        <c:lblAlgn val="ctr"/>
        <c:lblOffset val="100"/>
        <c:noMultiLvlLbl val="0"/>
      </c:catAx>
      <c:valAx>
        <c:axId val="38526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6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69850</xdr:colOff>
      <xdr:row>18</xdr:row>
      <xdr:rowOff>73024</xdr:rowOff>
    </xdr:from>
    <xdr:to>
      <xdr:col>8</xdr:col>
      <xdr:colOff>177800</xdr:colOff>
      <xdr:row>40</xdr:row>
      <xdr:rowOff>165099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07E2EF-6CF9-4A34-AC7B-C128753B1D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876300</xdr:colOff>
      <xdr:row>15</xdr:row>
      <xdr:rowOff>149224</xdr:rowOff>
    </xdr:from>
    <xdr:to>
      <xdr:col>10</xdr:col>
      <xdr:colOff>101600</xdr:colOff>
      <xdr:row>42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F326302-A23E-4C1D-8CBB-89572746C9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18</xdr:row>
      <xdr:rowOff>38100</xdr:rowOff>
    </xdr:from>
    <xdr:to>
      <xdr:col>6</xdr:col>
      <xdr:colOff>501650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9CD355-F2A5-4EB6-9DDB-4B452E357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3</xdr:row>
      <xdr:rowOff>44450</xdr:rowOff>
    </xdr:from>
    <xdr:to>
      <xdr:col>16</xdr:col>
      <xdr:colOff>25400</xdr:colOff>
      <xdr:row>26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E80BF3-632B-478B-8249-2B0D058872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15</xdr:row>
      <xdr:rowOff>15874</xdr:rowOff>
    </xdr:from>
    <xdr:to>
      <xdr:col>8</xdr:col>
      <xdr:colOff>50800</xdr:colOff>
      <xdr:row>34</xdr:row>
      <xdr:rowOff>146049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7996C5-4A00-4ADF-9149-50536FF1F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mis El Shahhat" refreshedDate="44253.931295833332" createdVersion="6" refreshedVersion="6" minRefreshableVersion="3" recordCount="4114" xr:uid="{37342E47-561D-48D3-98F7-9D3D01C100C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mis El Shahhat" refreshedDate="44255.699550462959" createdVersion="6" refreshedVersion="6" minRefreshableVersion="3" recordCount="4114" xr:uid="{DAA8EF39-2C3C-4F2C-824A-6E590BF4114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mis El Shahhat" refreshedDate="44261.961785879626" createdVersion="6" refreshedVersion="6" minRefreshableVersion="3" recordCount="4114" xr:uid="{35DD51F7-EF72-4344-9424-9D059C181AA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8D009E-BEA6-4E5C-8277-F42B52FEDF25}" name="PivotTable4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h="1" x="8"/>
        <item h="1" x="7"/>
        <item h="1" x="6"/>
        <item h="1" x="5"/>
        <item h="1" x="4"/>
        <item h="1" x="3"/>
        <item h="1" x="0"/>
        <item x="2"/>
        <item h="1"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6D75DA-40E6-40E1-B09B-7AE7014B5781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4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C8FF36-2AB9-40FA-BEF7-828265849212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01F3A3-46FE-44FC-990A-08CDFA809FA1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selection activeCell="W527" sqref="W527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81640625" style="8" bestFit="1" customWidth="1"/>
    <col min="5" max="5" width="13.08984375" style="6" bestFit="1" customWidth="1"/>
    <col min="6" max="6" width="14.6328125" bestFit="1" customWidth="1"/>
    <col min="7" max="7" width="12.81640625" bestFit="1" customWidth="1"/>
    <col min="8" max="8" width="13.6328125" bestFit="1" customWidth="1"/>
    <col min="9" max="9" width="19.36328125" customWidth="1"/>
    <col min="10" max="10" width="17.81640625" customWidth="1"/>
    <col min="11" max="11" width="15.453125" customWidth="1"/>
    <col min="12" max="12" width="18.6328125" bestFit="1" customWidth="1"/>
    <col min="13" max="13" width="13.90625" bestFit="1" customWidth="1"/>
    <col min="14" max="14" width="28.6328125" bestFit="1" customWidth="1"/>
    <col min="15" max="15" width="16.90625" bestFit="1" customWidth="1"/>
    <col min="16" max="16" width="16.36328125" bestFit="1" customWidth="1"/>
    <col min="17" max="17" width="28.6328125" bestFit="1" customWidth="1"/>
    <col min="18" max="18" width="15.6328125" bestFit="1" customWidth="1"/>
    <col min="19" max="20" width="22.08984375" style="1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7" t="s">
        <v>8386</v>
      </c>
    </row>
    <row r="2" spans="1:21" ht="43.5" x14ac:dyDescent="0.35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AAD9E801-F456-4A65-A484-13C48F22C209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7C8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2070D-969F-453C-94AC-74FF5F4BE896}">
  <dimension ref="A1:E18"/>
  <sheetViews>
    <sheetView workbookViewId="0">
      <selection activeCell="D47" sqref="D4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1" t="s">
        <v>8358</v>
      </c>
      <c r="B1" t="s">
        <v>8315</v>
      </c>
    </row>
    <row r="2" spans="1:5" x14ac:dyDescent="0.35">
      <c r="A2" s="11" t="s">
        <v>8386</v>
      </c>
      <c r="B2" s="13">
        <v>2016</v>
      </c>
    </row>
    <row r="4" spans="1:5" x14ac:dyDescent="0.35">
      <c r="A4" s="11" t="s">
        <v>8362</v>
      </c>
      <c r="B4" s="11" t="s">
        <v>8360</v>
      </c>
    </row>
    <row r="5" spans="1:5" x14ac:dyDescent="0.35">
      <c r="A5" s="11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6" t="s">
        <v>8373</v>
      </c>
      <c r="B6" s="12">
        <v>20</v>
      </c>
      <c r="C6" s="12">
        <v>8</v>
      </c>
      <c r="D6" s="12">
        <v>2</v>
      </c>
      <c r="E6" s="12">
        <v>30</v>
      </c>
    </row>
    <row r="7" spans="1:5" x14ac:dyDescent="0.35">
      <c r="A7" s="16" t="s">
        <v>8374</v>
      </c>
      <c r="B7" s="12">
        <v>22</v>
      </c>
      <c r="C7" s="12">
        <v>14</v>
      </c>
      <c r="D7" s="12">
        <v>1</v>
      </c>
      <c r="E7" s="12">
        <v>37</v>
      </c>
    </row>
    <row r="8" spans="1:5" x14ac:dyDescent="0.35">
      <c r="A8" s="16" t="s">
        <v>8375</v>
      </c>
      <c r="B8" s="12">
        <v>33</v>
      </c>
      <c r="C8" s="12">
        <v>18</v>
      </c>
      <c r="D8" s="12">
        <v>1</v>
      </c>
      <c r="E8" s="12">
        <v>52</v>
      </c>
    </row>
    <row r="9" spans="1:5" x14ac:dyDescent="0.35">
      <c r="A9" s="16" t="s">
        <v>8376</v>
      </c>
      <c r="B9" s="12">
        <v>29</v>
      </c>
      <c r="C9" s="12">
        <v>7</v>
      </c>
      <c r="D9" s="12">
        <v>2</v>
      </c>
      <c r="E9" s="12">
        <v>38</v>
      </c>
    </row>
    <row r="10" spans="1:5" x14ac:dyDescent="0.35">
      <c r="A10" s="16" t="s">
        <v>8367</v>
      </c>
      <c r="B10" s="12">
        <v>34</v>
      </c>
      <c r="C10" s="12">
        <v>16</v>
      </c>
      <c r="D10" s="12">
        <v>1</v>
      </c>
      <c r="E10" s="12">
        <v>51</v>
      </c>
    </row>
    <row r="11" spans="1:5" x14ac:dyDescent="0.35">
      <c r="A11" s="16" t="s">
        <v>8377</v>
      </c>
      <c r="B11" s="12">
        <v>20</v>
      </c>
      <c r="C11" s="12">
        <v>18</v>
      </c>
      <c r="D11" s="12">
        <v>1</v>
      </c>
      <c r="E11" s="12">
        <v>39</v>
      </c>
    </row>
    <row r="12" spans="1:5" x14ac:dyDescent="0.35">
      <c r="A12" s="16" t="s">
        <v>8368</v>
      </c>
      <c r="B12" s="12">
        <v>24</v>
      </c>
      <c r="C12" s="12">
        <v>5</v>
      </c>
      <c r="D12" s="12"/>
      <c r="E12" s="12">
        <v>29</v>
      </c>
    </row>
    <row r="13" spans="1:5" x14ac:dyDescent="0.35">
      <c r="A13" s="16" t="s">
        <v>8369</v>
      </c>
      <c r="B13" s="12">
        <v>17</v>
      </c>
      <c r="C13" s="12">
        <v>7</v>
      </c>
      <c r="D13" s="12"/>
      <c r="E13" s="12">
        <v>24</v>
      </c>
    </row>
    <row r="14" spans="1:5" x14ac:dyDescent="0.35">
      <c r="A14" s="16" t="s">
        <v>8370</v>
      </c>
      <c r="B14" s="12">
        <v>13</v>
      </c>
      <c r="C14" s="12">
        <v>11</v>
      </c>
      <c r="D14" s="12">
        <v>2</v>
      </c>
      <c r="E14" s="12">
        <v>26</v>
      </c>
    </row>
    <row r="15" spans="1:5" x14ac:dyDescent="0.35">
      <c r="A15" s="16" t="s">
        <v>8371</v>
      </c>
      <c r="B15" s="12">
        <v>13</v>
      </c>
      <c r="C15" s="12">
        <v>9</v>
      </c>
      <c r="D15" s="12"/>
      <c r="E15" s="12">
        <v>22</v>
      </c>
    </row>
    <row r="16" spans="1:5" x14ac:dyDescent="0.35">
      <c r="A16" s="16" t="s">
        <v>8372</v>
      </c>
      <c r="B16" s="12">
        <v>16</v>
      </c>
      <c r="C16" s="12">
        <v>11</v>
      </c>
      <c r="D16" s="12">
        <v>2</v>
      </c>
      <c r="E16" s="12">
        <v>29</v>
      </c>
    </row>
    <row r="17" spans="1:5" x14ac:dyDescent="0.35">
      <c r="A17" s="16" t="s">
        <v>8378</v>
      </c>
      <c r="B17" s="12">
        <v>8</v>
      </c>
      <c r="C17" s="12">
        <v>6</v>
      </c>
      <c r="D17" s="12"/>
      <c r="E17" s="12">
        <v>14</v>
      </c>
    </row>
    <row r="18" spans="1:5" x14ac:dyDescent="0.35">
      <c r="A18" s="16" t="s">
        <v>8361</v>
      </c>
      <c r="B18" s="12">
        <v>249</v>
      </c>
      <c r="C18" s="12">
        <v>130</v>
      </c>
      <c r="D18" s="12">
        <v>12</v>
      </c>
      <c r="E18" s="12">
        <v>391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ADCCA-E7C4-4906-BA0F-841F15720EAC}">
  <dimension ref="A1:I13"/>
  <sheetViews>
    <sheetView tabSelected="1" workbookViewId="0">
      <selection activeCell="B11" sqref="B11"/>
    </sheetView>
  </sheetViews>
  <sheetFormatPr defaultRowHeight="14.5" x14ac:dyDescent="0.35"/>
  <cols>
    <col min="1" max="1" width="17" style="20" customWidth="1"/>
    <col min="2" max="2" width="16.6328125" style="19" bestFit="1" customWidth="1"/>
    <col min="3" max="3" width="12.7265625" style="19" bestFit="1" customWidth="1"/>
    <col min="4" max="4" width="15.7265625" style="19" bestFit="1" customWidth="1"/>
    <col min="5" max="5" width="12" style="19" bestFit="1" customWidth="1"/>
    <col min="6" max="6" width="19" style="22" bestFit="1" customWidth="1"/>
    <col min="7" max="7" width="15.453125" style="22" bestFit="1" customWidth="1"/>
    <col min="8" max="8" width="18.1796875" style="22" bestFit="1" customWidth="1"/>
    <col min="9" max="9" width="8.7265625" style="19"/>
  </cols>
  <sheetData>
    <row r="1" spans="1:9" s="17" customFormat="1" x14ac:dyDescent="0.35">
      <c r="A1" s="20" t="s">
        <v>8383</v>
      </c>
      <c r="B1" s="20" t="s">
        <v>8387</v>
      </c>
      <c r="C1" s="20" t="s">
        <v>8388</v>
      </c>
      <c r="D1" s="20" t="s">
        <v>8389</v>
      </c>
      <c r="E1" s="20" t="s">
        <v>8390</v>
      </c>
      <c r="F1" s="21" t="s">
        <v>8391</v>
      </c>
      <c r="G1" s="21" t="s">
        <v>8392</v>
      </c>
      <c r="H1" s="21" t="s">
        <v>8393</v>
      </c>
      <c r="I1" s="20"/>
    </row>
    <row r="2" spans="1:9" x14ac:dyDescent="0.35">
      <c r="A2" s="20" t="s">
        <v>8394</v>
      </c>
      <c r="B2" s="19">
        <f>COUNTIFS(Kickstarter!$D:$D, "&lt;1000", Kickstarter!$F:$F, "successful", Kickstarter!$R:$R, "plays")</f>
        <v>141</v>
      </c>
      <c r="C2" s="19">
        <f>COUNTIFS(Kickstarter!$D:$D, "&lt;1000", Kickstarter!$F:$F, "failed", Kickstarter!$R:$R, "plays")</f>
        <v>45</v>
      </c>
      <c r="D2" s="19">
        <f>COUNTIFS(Kickstarter!$D:$D, "&lt;1000", Kickstarter!$F:$F, "canceled", Kickstarter!$R:$R, "plays")</f>
        <v>0</v>
      </c>
      <c r="E2" s="19">
        <f>SUM(B2:D2)</f>
        <v>186</v>
      </c>
      <c r="F2" s="23">
        <f>B2/E2</f>
        <v>0.75806451612903225</v>
      </c>
      <c r="G2" s="23">
        <f>C2/E2</f>
        <v>0.24193548387096775</v>
      </c>
      <c r="H2" s="22">
        <f>D2/E2</f>
        <v>0</v>
      </c>
    </row>
    <row r="3" spans="1:9" x14ac:dyDescent="0.35">
      <c r="A3" s="20" t="s">
        <v>8395</v>
      </c>
      <c r="B3" s="19">
        <f>COUNTIFS(Kickstarter!$D:$D, "&gt;=1000", Kickstarter!$D:$D, "&lt;5000", Kickstarter!$F:$F, "successful", Kickstarter!$R:$R, "plays")</f>
        <v>388</v>
      </c>
      <c r="C3" s="19">
        <f>COUNTIFS(Kickstarter!$D:$D, "&gt;=1000", Kickstarter!$D:$D, "&lt;5000", Kickstarter!$F:$F, "failed", Kickstarter!$R:$R, "plays")</f>
        <v>146</v>
      </c>
      <c r="D3" s="19">
        <f>COUNTIFS(Kickstarter!$D:$D, "&gt;=1000", Kickstarter!$D:$D, "&lt;5000", Kickstarter!$F:$F, "canceled", Kickstarter!$R:$R, "plays")</f>
        <v>0</v>
      </c>
      <c r="E3" s="19">
        <f t="shared" ref="E3:E13" si="0">SUM(B3:D3)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2">
        <f t="shared" ref="H3:H13" si="3">D3/E3</f>
        <v>0</v>
      </c>
    </row>
    <row r="4" spans="1:9" x14ac:dyDescent="0.35">
      <c r="A4" s="20" t="s">
        <v>8396</v>
      </c>
      <c r="B4" s="19">
        <f>COUNTIFS(Kickstarter!$D:$D, "&gt;=5000", Kickstarter!$D:$D, "&lt;10000", Kickstarter!$F:$F, "successful", Kickstarter!$R:$R, "plays")</f>
        <v>93</v>
      </c>
      <c r="C4" s="19">
        <f>COUNTIFS(Kickstarter!$D:$D, "&gt;=5000", Kickstarter!$D:$D, "&lt;10000", Kickstarter!$F:$F, "failed", Kickstarter!$R:$R, "plays")</f>
        <v>76</v>
      </c>
      <c r="D4" s="19">
        <f>COUNTIFS(Kickstarter!$D:$D, "&gt;=5000", Kickstarter!$D:$D, "&lt;10000", Kickstarter!$F:$F, "canceled", Kickstarter!$R:$R, "plays")</f>
        <v>0</v>
      </c>
      <c r="E4" s="19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2">
        <f t="shared" si="3"/>
        <v>0</v>
      </c>
    </row>
    <row r="5" spans="1:9" x14ac:dyDescent="0.35">
      <c r="A5" s="20" t="s">
        <v>8397</v>
      </c>
      <c r="B5" s="19">
        <f>COUNTIFS(Kickstarter!$D:$D, "&gt;=10000", Kickstarter!$D:$D, "&lt;15000", Kickstarter!$F:$F, "successful", Kickstarter!$R:$R, "plays")</f>
        <v>39</v>
      </c>
      <c r="C5" s="19">
        <f>COUNTIFS(Kickstarter!$D:$D, "&gt;=10000", Kickstarter!$D:$D, "&lt;15000", Kickstarter!$F:$F, "failed", Kickstarter!$R:$R, "plays")</f>
        <v>33</v>
      </c>
      <c r="D5" s="19">
        <f>COUNTIFS(Kickstarter!$D:$D, "&gt;=10000", Kickstarter!$D:$D, "&lt;15000", Kickstarter!$F:$F, "canceled", Kickstarter!$R:$R, "plays")</f>
        <v>0</v>
      </c>
      <c r="E5" s="19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2">
        <f t="shared" si="3"/>
        <v>0</v>
      </c>
    </row>
    <row r="6" spans="1:9" x14ac:dyDescent="0.35">
      <c r="A6" s="20" t="s">
        <v>8398</v>
      </c>
      <c r="B6" s="19">
        <f>COUNTIFS(Kickstarter!$D:$D, "&gt;=15000", Kickstarter!$D:$D, "&lt;20000", Kickstarter!$F:$F, "successful", Kickstarter!$R:$R, "plays")</f>
        <v>12</v>
      </c>
      <c r="C6" s="19">
        <f>COUNTIFS(Kickstarter!$D:$D, "&gt;=15000", Kickstarter!$D:$D, "&lt;20000", Kickstarter!$F:$F, "failed", Kickstarter!$R:$R, "plays")</f>
        <v>12</v>
      </c>
      <c r="D6" s="19">
        <f>COUNTIFS(Kickstarter!$D:$D, "&gt;=15000", Kickstarter!$D:$D, "&lt;20000", Kickstarter!$F:$F, "canceled", Kickstarter!$R:$R, "plays")</f>
        <v>0</v>
      </c>
      <c r="E6" s="19">
        <f t="shared" si="0"/>
        <v>24</v>
      </c>
      <c r="F6" s="23">
        <f t="shared" si="1"/>
        <v>0.5</v>
      </c>
      <c r="G6" s="23">
        <f t="shared" si="2"/>
        <v>0.5</v>
      </c>
      <c r="H6" s="22">
        <f t="shared" si="3"/>
        <v>0</v>
      </c>
    </row>
    <row r="7" spans="1:9" x14ac:dyDescent="0.35">
      <c r="A7" s="20" t="s">
        <v>8399</v>
      </c>
      <c r="B7" s="19">
        <f>COUNTIFS(Kickstarter!$D:$D, "&gt;=20000", Kickstarter!$D:$D, "&lt;25000", Kickstarter!$F:$F, "successful", Kickstarter!$R:$R, "plays")</f>
        <v>9</v>
      </c>
      <c r="C7" s="19">
        <f>COUNTIFS(Kickstarter!$D:$D, "&gt;=20000", Kickstarter!$D:$D, "&lt;25000", Kickstarter!$F:$F, "failed", Kickstarter!$R:$R, "plays")</f>
        <v>11</v>
      </c>
      <c r="D7" s="19">
        <f>COUNTIFS(Kickstarter!$D:$D, "&gt;=20000", Kickstarter!$D:$D, "&lt;25000", Kickstarter!$F:$F, "canceled", Kickstarter!$R:$R, "plays")</f>
        <v>0</v>
      </c>
      <c r="E7" s="19">
        <f t="shared" si="0"/>
        <v>20</v>
      </c>
      <c r="F7" s="23">
        <f t="shared" si="1"/>
        <v>0.45</v>
      </c>
      <c r="G7" s="23">
        <f t="shared" si="2"/>
        <v>0.55000000000000004</v>
      </c>
      <c r="H7" s="22">
        <f t="shared" si="3"/>
        <v>0</v>
      </c>
    </row>
    <row r="8" spans="1:9" x14ac:dyDescent="0.35">
      <c r="A8" s="20" t="s">
        <v>8400</v>
      </c>
      <c r="B8" s="19">
        <f>COUNTIFS(Kickstarter!$D:$D, "&gt;=25000", Kickstarter!$D:$D, "&lt;30000", Kickstarter!$F:$F, "successful", Kickstarter!$R:$R, "plays")</f>
        <v>1</v>
      </c>
      <c r="C8" s="19">
        <f>COUNTIFS(Kickstarter!$D:$D, "&gt;=25000", Kickstarter!$D:$D, "&lt;30000", Kickstarter!$F:$F, "failed", Kickstarter!$R:$R, "plays")</f>
        <v>4</v>
      </c>
      <c r="D8" s="19">
        <f>COUNTIFS(Kickstarter!$D:$D, "&gt;=25000", Kickstarter!$D:$D, "&lt;30000", Kickstarter!$F:$F, "canceled", Kickstarter!$R:$R, "plays")</f>
        <v>0</v>
      </c>
      <c r="E8" s="19">
        <f t="shared" si="0"/>
        <v>5</v>
      </c>
      <c r="F8" s="23">
        <f t="shared" si="1"/>
        <v>0.2</v>
      </c>
      <c r="G8" s="23">
        <f t="shared" si="2"/>
        <v>0.8</v>
      </c>
      <c r="H8" s="22">
        <f t="shared" si="3"/>
        <v>0</v>
      </c>
    </row>
    <row r="9" spans="1:9" x14ac:dyDescent="0.35">
      <c r="A9" s="20" t="s">
        <v>8401</v>
      </c>
      <c r="B9" s="19">
        <f>COUNTIFS(Kickstarter!$D:$D, "&gt;=30000", Kickstarter!$D:$D, "&lt;35000", Kickstarter!$F:$F, "successful", Kickstarter!$R:$R, "plays")</f>
        <v>3</v>
      </c>
      <c r="C9" s="19">
        <f>COUNTIFS(Kickstarter!$D:$D, "&gt;=30000", Kickstarter!$D:$D, "&lt;35000", Kickstarter!$F:$F, "failed", Kickstarter!$R:$R, "plays")</f>
        <v>8</v>
      </c>
      <c r="D9" s="19">
        <f>COUNTIFS(Kickstarter!$D:$D, "&gt;=30000", Kickstarter!$D:$D, "&lt;35000", Kickstarter!$F:$F, "canceled", Kickstarter!$R:$R, "plays")</f>
        <v>0</v>
      </c>
      <c r="E9" s="1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2">
        <f t="shared" si="3"/>
        <v>0</v>
      </c>
    </row>
    <row r="10" spans="1:9" x14ac:dyDescent="0.35">
      <c r="A10" s="20" t="s">
        <v>8402</v>
      </c>
      <c r="B10" s="19">
        <f>COUNTIFS(Kickstarter!$D:$D, "&gt;=35000", Kickstarter!$D:$D, "&lt;40000", Kickstarter!$F:$F, "successful", Kickstarter!$R:$R, "plays")</f>
        <v>4</v>
      </c>
      <c r="C10" s="19">
        <f>COUNTIFS(Kickstarter!$D:$D, "&gt;=35000", Kickstarter!$D:$D, "&lt;40000", Kickstarter!$F:$F, "failed", Kickstarter!$R:$R, "plays")</f>
        <v>2</v>
      </c>
      <c r="D10" s="19">
        <f>COUNTIFS(Kickstarter!$D:$D, "&gt;=35000", Kickstarter!$D:$D, "&lt;40000", Kickstarter!$F:$F, "canceled", Kickstarter!$R:$R, "plays")</f>
        <v>0</v>
      </c>
      <c r="E10" s="19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2">
        <f t="shared" si="3"/>
        <v>0</v>
      </c>
    </row>
    <row r="11" spans="1:9" x14ac:dyDescent="0.35">
      <c r="A11" s="20" t="s">
        <v>8403</v>
      </c>
      <c r="B11" s="19">
        <f>COUNTIFS(Kickstarter!$D:$D, "&gt;=40000", Kickstarter!$D:$D, "&lt;45000", Kickstarter!$F:$F, "successful", Kickstarter!$R:$R, "plays")</f>
        <v>2</v>
      </c>
      <c r="C11" s="19">
        <f>COUNTIFS(Kickstarter!$D:$D, "&gt;=40000", Kickstarter!$D:$D, "&lt;45000", Kickstarter!$F:$F, "failed", Kickstarter!$R:$R, "plays")</f>
        <v>1</v>
      </c>
      <c r="D11" s="19">
        <f>COUNTIFS(Kickstarter!$D:$D, "&gt;=40000", Kickstarter!$D:$D, "&lt;45000", Kickstarter!$F:$F, "canceled", Kickstarter!$R:$R, "plays")</f>
        <v>0</v>
      </c>
      <c r="E11" s="19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2">
        <f t="shared" si="3"/>
        <v>0</v>
      </c>
    </row>
    <row r="12" spans="1:9" x14ac:dyDescent="0.35">
      <c r="A12" s="20" t="s">
        <v>8404</v>
      </c>
      <c r="B12" s="19">
        <f>COUNTIFS(Kickstarter!$D:$D, "&gt;=45000", Kickstarter!$D:$D, "&lt;50000", Kickstarter!$F:$F, "successful", Kickstarter!$R:$R, "plays")</f>
        <v>0</v>
      </c>
      <c r="C12" s="19">
        <f>COUNTIFS(Kickstarter!$D:$D, "&gt;=45000", Kickstarter!$D:$D, "&lt;50000", Kickstarter!$F:$F, "failed", Kickstarter!$R:$R, "plays")</f>
        <v>1</v>
      </c>
      <c r="D12" s="19">
        <f>COUNTIFS(Kickstarter!$D:$D, "&gt;=45000", Kickstarter!$D:$D, "&lt;50000", Kickstarter!$F:$F, "canceled", Kickstarter!$R:$R, "plays")</f>
        <v>0</v>
      </c>
      <c r="E12" s="19">
        <f t="shared" si="0"/>
        <v>1</v>
      </c>
      <c r="F12" s="23">
        <f t="shared" si="1"/>
        <v>0</v>
      </c>
      <c r="G12" s="23">
        <f t="shared" si="2"/>
        <v>1</v>
      </c>
      <c r="H12" s="22">
        <f t="shared" si="3"/>
        <v>0</v>
      </c>
    </row>
    <row r="13" spans="1:9" x14ac:dyDescent="0.35">
      <c r="A13" s="20" t="s">
        <v>8405</v>
      </c>
      <c r="B13" s="19">
        <f>COUNTIFS(Kickstarter!$D:$D, "&gt;=50000", Kickstarter!$F:$F, "successful", Kickstarter!$R:$R, "plays")</f>
        <v>2</v>
      </c>
      <c r="C13" s="19">
        <f>COUNTIFS(Kickstarter!$D:$D, "&gt;=50000", Kickstarter!$F:$F, "failed", Kickstarter!$R:$R, "plays")</f>
        <v>14</v>
      </c>
      <c r="D13" s="19">
        <f>COUNTIFS(Kickstarter!$D:$D, "&gt;=50000", Kickstarter!$F:$F, "canceled", Kickstarter!$R:$R, "plays")</f>
        <v>0</v>
      </c>
      <c r="E13" s="19">
        <f t="shared" si="0"/>
        <v>16</v>
      </c>
      <c r="F13" s="23">
        <f t="shared" si="1"/>
        <v>0.125</v>
      </c>
      <c r="G13" s="23">
        <f t="shared" si="2"/>
        <v>0.875</v>
      </c>
      <c r="H13" s="22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9DB48-8496-4741-927D-AEB3515E87A1}">
  <dimension ref="A1:F17"/>
  <sheetViews>
    <sheetView workbookViewId="0">
      <selection activeCell="K16" sqref="K1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8323</v>
      </c>
    </row>
    <row r="3" spans="1:6" x14ac:dyDescent="0.35">
      <c r="A3" s="11" t="s">
        <v>8362</v>
      </c>
      <c r="B3" s="11" t="s">
        <v>8360</v>
      </c>
    </row>
    <row r="4" spans="1:6" x14ac:dyDescent="0.35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6" t="s">
        <v>8373</v>
      </c>
      <c r="B5" s="12">
        <v>3</v>
      </c>
      <c r="C5" s="12">
        <v>10</v>
      </c>
      <c r="D5" s="12"/>
      <c r="E5" s="12">
        <v>54</v>
      </c>
      <c r="F5" s="12">
        <v>67</v>
      </c>
    </row>
    <row r="6" spans="1:6" x14ac:dyDescent="0.35">
      <c r="A6" s="16" t="s">
        <v>8374</v>
      </c>
      <c r="B6" s="12"/>
      <c r="C6" s="12">
        <v>8</v>
      </c>
      <c r="D6" s="12">
        <v>8</v>
      </c>
      <c r="E6" s="12">
        <v>49</v>
      </c>
      <c r="F6" s="12">
        <v>65</v>
      </c>
    </row>
    <row r="7" spans="1:6" x14ac:dyDescent="0.35">
      <c r="A7" s="16" t="s">
        <v>8375</v>
      </c>
      <c r="B7" s="12">
        <v>2</v>
      </c>
      <c r="C7" s="12">
        <v>10</v>
      </c>
      <c r="D7" s="12">
        <v>12</v>
      </c>
      <c r="E7" s="12">
        <v>49</v>
      </c>
      <c r="F7" s="12">
        <v>73</v>
      </c>
    </row>
    <row r="8" spans="1:6" x14ac:dyDescent="0.35">
      <c r="A8" s="16" t="s">
        <v>8376</v>
      </c>
      <c r="B8" s="12">
        <v>1</v>
      </c>
      <c r="C8" s="12">
        <v>10</v>
      </c>
      <c r="D8" s="12"/>
      <c r="E8" s="12">
        <v>48</v>
      </c>
      <c r="F8" s="12">
        <v>59</v>
      </c>
    </row>
    <row r="9" spans="1:6" x14ac:dyDescent="0.35">
      <c r="A9" s="16" t="s">
        <v>8367</v>
      </c>
      <c r="B9" s="12">
        <v>2</v>
      </c>
      <c r="C9" s="12">
        <v>9</v>
      </c>
      <c r="D9" s="12"/>
      <c r="E9" s="12">
        <v>54</v>
      </c>
      <c r="F9" s="12">
        <v>65</v>
      </c>
    </row>
    <row r="10" spans="1:6" x14ac:dyDescent="0.35">
      <c r="A10" s="16" t="s">
        <v>8377</v>
      </c>
      <c r="B10" s="12"/>
      <c r="C10" s="12">
        <v>7</v>
      </c>
      <c r="D10" s="12"/>
      <c r="E10" s="12">
        <v>46</v>
      </c>
      <c r="F10" s="12">
        <v>53</v>
      </c>
    </row>
    <row r="11" spans="1:6" x14ac:dyDescent="0.35">
      <c r="A11" s="16" t="s">
        <v>8368</v>
      </c>
      <c r="B11" s="12">
        <v>5</v>
      </c>
      <c r="C11" s="12">
        <v>8</v>
      </c>
      <c r="D11" s="12"/>
      <c r="E11" s="12">
        <v>39</v>
      </c>
      <c r="F11" s="12">
        <v>52</v>
      </c>
    </row>
    <row r="12" spans="1:6" x14ac:dyDescent="0.35">
      <c r="A12" s="16" t="s">
        <v>8369</v>
      </c>
      <c r="B12" s="12">
        <v>4</v>
      </c>
      <c r="C12" s="12">
        <v>12</v>
      </c>
      <c r="D12" s="12"/>
      <c r="E12" s="12">
        <v>44</v>
      </c>
      <c r="F12" s="12">
        <v>60</v>
      </c>
    </row>
    <row r="13" spans="1:6" x14ac:dyDescent="0.35">
      <c r="A13" s="16" t="s">
        <v>8370</v>
      </c>
      <c r="B13" s="12"/>
      <c r="C13" s="12">
        <v>13</v>
      </c>
      <c r="D13" s="12"/>
      <c r="E13" s="12">
        <v>38</v>
      </c>
      <c r="F13" s="12">
        <v>51</v>
      </c>
    </row>
    <row r="14" spans="1:6" x14ac:dyDescent="0.35">
      <c r="A14" s="16" t="s">
        <v>8371</v>
      </c>
      <c r="B14" s="12">
        <v>1</v>
      </c>
      <c r="C14" s="12">
        <v>16</v>
      </c>
      <c r="D14" s="12"/>
      <c r="E14" s="12">
        <v>43</v>
      </c>
      <c r="F14" s="12">
        <v>60</v>
      </c>
    </row>
    <row r="15" spans="1:6" x14ac:dyDescent="0.35">
      <c r="A15" s="16" t="s">
        <v>8372</v>
      </c>
      <c r="B15" s="12">
        <v>1</v>
      </c>
      <c r="C15" s="12">
        <v>9</v>
      </c>
      <c r="D15" s="12"/>
      <c r="E15" s="12">
        <v>46</v>
      </c>
      <c r="F15" s="12">
        <v>56</v>
      </c>
    </row>
    <row r="16" spans="1:6" x14ac:dyDescent="0.35">
      <c r="A16" s="16" t="s">
        <v>8378</v>
      </c>
      <c r="B16" s="12">
        <v>1</v>
      </c>
      <c r="C16" s="12">
        <v>8</v>
      </c>
      <c r="D16" s="12"/>
      <c r="E16" s="12">
        <v>30</v>
      </c>
      <c r="F16" s="12">
        <v>39</v>
      </c>
    </row>
    <row r="17" spans="1:6" x14ac:dyDescent="0.35">
      <c r="A17" s="16" t="s">
        <v>8361</v>
      </c>
      <c r="B17" s="12">
        <v>20</v>
      </c>
      <c r="C17" s="12">
        <v>120</v>
      </c>
      <c r="D17" s="12">
        <v>20</v>
      </c>
      <c r="E17" s="12">
        <v>540</v>
      </c>
      <c r="F17" s="12">
        <v>700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A98BB-5794-465B-8B13-5A4D5D14281F}">
  <dimension ref="A1:D6"/>
  <sheetViews>
    <sheetView workbookViewId="0">
      <selection activeCell="B13" sqref="B13"/>
    </sheetView>
  </sheetViews>
  <sheetFormatPr defaultRowHeight="14.5" x14ac:dyDescent="0.35"/>
  <cols>
    <col min="1" max="1" width="30.453125" bestFit="1" customWidth="1"/>
    <col min="2" max="2" width="47" style="3" customWidth="1"/>
  </cols>
  <sheetData>
    <row r="1" spans="1:4" s="17" customFormat="1" x14ac:dyDescent="0.35">
      <c r="A1" s="17" t="s">
        <v>8385</v>
      </c>
      <c r="B1" s="18" t="s">
        <v>8382</v>
      </c>
      <c r="C1" s="17" t="s">
        <v>8383</v>
      </c>
      <c r="D1" s="17" t="s">
        <v>8384</v>
      </c>
    </row>
    <row r="2" spans="1:4" ht="43.5" x14ac:dyDescent="0.35">
      <c r="A2" t="s">
        <v>8379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Kickstarter!$B:$E, 3, FALSE)</f>
        <v>2000</v>
      </c>
      <c r="D2">
        <f>VLOOKUP(A2, Kickstarter!$B:$E, 4, FALSE)</f>
        <v>2020</v>
      </c>
    </row>
    <row r="3" spans="1:4" ht="43.5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Kickstarter!$B:$E, 3, FALSE)</f>
        <v>2000</v>
      </c>
      <c r="D3">
        <f>VLOOKUP(A3, Kickstarter!$B:$E, 4, FALSE)</f>
        <v>2020</v>
      </c>
    </row>
    <row r="4" spans="1:4" ht="43.5" x14ac:dyDescent="0.35">
      <c r="A4" t="s">
        <v>8380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Kickstarter!$B:$E, 3, FALSE)</f>
        <v>1500</v>
      </c>
      <c r="D4">
        <f>VLOOKUP(A4, Kickstarter!$B:$E, 4, FALSE)</f>
        <v>2576</v>
      </c>
    </row>
    <row r="5" spans="1:4" ht="43.5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Kickstarter!$B:$E, 3, FALSE)</f>
        <v>1000</v>
      </c>
      <c r="D5">
        <f>VLOOKUP(A5, Kickstarter!$B:$E, 4, FALSE)</f>
        <v>1168</v>
      </c>
    </row>
    <row r="6" spans="1:4" ht="43.5" x14ac:dyDescent="0.35">
      <c r="A6" t="s">
        <v>8381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Kickstarter!$B:$E, 3, FALSE)</f>
        <v>4000</v>
      </c>
      <c r="D6">
        <f>VLOOKUP(A6, Kickstarter!$B:$E, 4, 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600A2-8781-44C7-AA1D-3AA46303BEC2}">
  <dimension ref="A1:E7"/>
  <sheetViews>
    <sheetView workbookViewId="0">
      <selection activeCell="F47" sqref="F4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8363</v>
      </c>
    </row>
    <row r="2" spans="1:5" x14ac:dyDescent="0.35">
      <c r="A2" s="11" t="s">
        <v>8358</v>
      </c>
      <c r="B2" t="s">
        <v>8363</v>
      </c>
    </row>
    <row r="4" spans="1:5" x14ac:dyDescent="0.35">
      <c r="A4" s="11" t="s">
        <v>8362</v>
      </c>
      <c r="B4" s="11" t="s">
        <v>8360</v>
      </c>
    </row>
    <row r="5" spans="1:5" x14ac:dyDescent="0.35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5">
      <c r="A7" s="13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C0CB8-5940-44A8-BE82-7684192D067E}">
  <dimension ref="A1:F6"/>
  <sheetViews>
    <sheetView workbookViewId="0">
      <selection activeCell="C6" sqref="C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1" t="s">
        <v>8222</v>
      </c>
      <c r="B1" t="s">
        <v>8224</v>
      </c>
    </row>
    <row r="3" spans="1:6" x14ac:dyDescent="0.35">
      <c r="A3" s="11" t="s">
        <v>8362</v>
      </c>
      <c r="B3" s="11" t="s">
        <v>8360</v>
      </c>
    </row>
    <row r="4" spans="1:6" x14ac:dyDescent="0.35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2">
        <v>6</v>
      </c>
      <c r="C5" s="12">
        <v>89</v>
      </c>
      <c r="D5" s="12">
        <v>6</v>
      </c>
      <c r="E5" s="12">
        <v>258</v>
      </c>
      <c r="F5" s="12">
        <v>359</v>
      </c>
    </row>
    <row r="6" spans="1:6" x14ac:dyDescent="0.35">
      <c r="A6" s="13" t="s">
        <v>8361</v>
      </c>
      <c r="B6" s="12">
        <v>6</v>
      </c>
      <c r="C6" s="12">
        <v>89</v>
      </c>
      <c r="D6" s="12">
        <v>6</v>
      </c>
      <c r="E6" s="12">
        <v>258</v>
      </c>
      <c r="F6" s="12">
        <v>359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Outcomes based on launch dates</vt:lpstr>
      <vt:lpstr>Edinburgh research</vt:lpstr>
      <vt:lpstr>Subcategory statistics</vt:lpstr>
      <vt:lpstr>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Lamis El Shahhat</cp:lastModifiedBy>
  <dcterms:created xsi:type="dcterms:W3CDTF">2017-04-20T15:17:24Z</dcterms:created>
  <dcterms:modified xsi:type="dcterms:W3CDTF">2021-03-07T04:56:02Z</dcterms:modified>
</cp:coreProperties>
</file>