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<sst xmlns="http://schemas.openxmlformats.org/spreadsheetml/2006/main" count="112" uniqueCount="59">
  <si>
    <t xml:space="preserve">Higher-fidelity studies</t>
  </si>
  <si>
    <t xml:space="preserve">Vehicle concept</t>
  </si>
  <si>
    <t xml:space="preserve">Reference</t>
  </si>
  <si>
    <t xml:space="preserve">ascent fuel</t>
  </si>
  <si>
    <t xml:space="preserve">ascent oxidizer</t>
  </si>
  <si>
    <t xml:space="preserve">recovery fuel</t>
  </si>
  <si>
    <t xml:space="preserve">Inert mass [Mg]</t>
  </si>
  <si>
    <t xml:space="preserve">Ascent propellant mass [Mg]</t>
  </si>
  <si>
    <t xml:space="preserve">Recovery propellant mass [Mg]</t>
  </si>
  <si>
    <t xml:space="preserve">Staging speed [m/s]</t>
  </si>
  <si>
    <t xml:space="preserve">Recovery cruise range [km]</t>
  </si>
  <si>
    <t xml:space="preserve">Recovery cruise speed [m/s]</t>
  </si>
  <si>
    <t xml:space="preserve">Baseline inert mass fraction E_1 [-]</t>
  </si>
  <si>
    <t xml:space="preserve">Estimated mass of baseline “high-value” hardware [Mg]</t>
  </si>
  <si>
    <t xml:space="preserve">a [-]</t>
  </si>
  <si>
    <t xml:space="preserve">P [-]</t>
  </si>
  <si>
    <t xml:space="preserve">Baikal</t>
  </si>
  <si>
    <t xml:space="preserve">Isakowitz 2004</t>
  </si>
  <si>
    <t xml:space="preserve">kero</t>
  </si>
  <si>
    <t xml:space="preserve">O2</t>
  </si>
  <si>
    <t xml:space="preserve">LFBB, NASA/Boeing, Dual Config</t>
  </si>
  <si>
    <t xml:space="preserve">Healy 1998</t>
  </si>
  <si>
    <t xml:space="preserve">LFBB, DRL</t>
  </si>
  <si>
    <t xml:space="preserve">Sippel et al. 2002</t>
  </si>
  <si>
    <t xml:space="preserve">H2</t>
  </si>
  <si>
    <t xml:space="preserve">Lower-fidelity studies</t>
  </si>
  <si>
    <t xml:space="preserve">Flyback</t>
  </si>
  <si>
    <t xml:space="preserve">Hellman 2005</t>
  </si>
  <si>
    <t xml:space="preserve">Glideback</t>
  </si>
  <si>
    <t xml:space="preserve">Analogies to other winged vehicles</t>
  </si>
  <si>
    <t xml:space="preserve">Vehicle</t>
  </si>
  <si>
    <t xml:space="preserve">empty mass</t>
  </si>
  <si>
    <t xml:space="preserve">Wing mass</t>
  </si>
  <si>
    <t xml:space="preserve">Stabiliser mass</t>
  </si>
  <si>
    <t xml:space="preserve">landing gear mass</t>
  </si>
  <si>
    <t xml:space="preserve">surface controls mass</t>
  </si>
  <si>
    <t xml:space="preserve">hydraulics mass</t>
  </si>
  <si>
    <t xml:space="preserve">thermal protection mass</t>
  </si>
  <si>
    <t xml:space="preserve">air breathing propulsion mass</t>
  </si>
  <si>
    <t xml:space="preserve">$a$ estimate, glider</t>
  </si>
  <si>
    <t xml:space="preserve">$a$ estimate, powered</t>
  </si>
  <si>
    <t xml:space="preserve">STS Orbiter</t>
  </si>
  <si>
    <t xml:space="preserve">Sforza 2015</t>
  </si>
  <si>
    <t xml:space="preserve">Mg</t>
  </si>
  <si>
    <t xml:space="preserve">fraction of empty mass</t>
  </si>
  <si>
    <t xml:space="preserve">C-141</t>
  </si>
  <si>
    <t xml:space="preserve">Gulfstream G550</t>
  </si>
  <si>
    <t xml:space="preserve">Lissys</t>
  </si>
  <si>
    <t xml:space="preserve">Boeing 787-8</t>
  </si>
  <si>
    <t xml:space="preserve">Name</t>
  </si>
  <si>
    <t xml:space="preserve">Estimate type</t>
  </si>
  <si>
    <t xml:space="preserve">Recovery fuel</t>
  </si>
  <si>
    <t xml:space="preserve">a, glider</t>
  </si>
  <si>
    <t xml:space="preserve">a, powered</t>
  </si>
  <si>
    <t xml:space="preserve">P</t>
  </si>
  <si>
    <t xml:space="preserve">Detailed</t>
  </si>
  <si>
    <t xml:space="preserve">Hellman</t>
  </si>
  <si>
    <t xml:space="preserve">Mass est. rel.</t>
  </si>
  <si>
    <t xml:space="preserve">Analogy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</si>
</sst>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RowHeight="12.8"/>
  <cols>
    <col collapsed="false" hidden="false" max="1" min="1" style="0" width="27.8061224489796"/>
    <col collapsed="false" hidden="false" max="2" min="2" style="0" width="12.4183673469388"/>
    <col collapsed="false" hidden="false" max="3" min="3" style="0" width="19.0357142857143"/>
    <col collapsed="false" hidden="false" max="5" min="4" style="0" width="12.8265306122449"/>
    <col collapsed="false" hidden="false" max="6" min="6" style="0" width="19.3061224489796"/>
    <col collapsed="false" hidden="false" max="7" min="7" style="0" width="14.8469387755102"/>
    <col collapsed="false" hidden="false" max="10" min="8" style="0" width="15.7959183673469"/>
    <col collapsed="false" hidden="false" max="11" min="11" style="0" width="10.1224489795918"/>
    <col collapsed="false" hidden="false" max="12" min="12" style="0" width="12.4183673469388"/>
    <col collapsed="false" hidden="false" max="13" min="13" style="0" width="15.3877551020408"/>
    <col collapsed="false" hidden="false" max="1025" min="14" style="0" width="8.50510204081633"/>
  </cols>
  <sheetData>
    <row r="1" s="2" customFormat="true" ht="12.8" hidden="false" customHeight="false" outlineLevel="0" collapsed="false">
      <c r="A1" s="1" t="s">
        <v>0</v>
      </c>
    </row>
    <row r="2" customFormat="false" ht="46.2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customFormat="false" ht="12.8" hidden="false" customHeight="false" outlineLevel="0" collapsed="false">
      <c r="A3" s="0" t="s">
        <v>16</v>
      </c>
      <c r="B3" s="0" t="s">
        <v>17</v>
      </c>
      <c r="C3" s="0" t="s">
        <v>18</v>
      </c>
      <c r="D3" s="0" t="s">
        <v>19</v>
      </c>
      <c r="E3" s="0" t="s">
        <v>18</v>
      </c>
      <c r="F3" s="0" t="n">
        <v>17.8</v>
      </c>
      <c r="G3" s="0" t="n">
        <v>109.7</v>
      </c>
      <c r="H3" s="0" t="n">
        <v>2.9</v>
      </c>
      <c r="J3" s="0" t="n">
        <v>410</v>
      </c>
      <c r="K3" s="0" t="n">
        <v>136</v>
      </c>
      <c r="L3" s="0" t="n">
        <v>0.06</v>
      </c>
      <c r="M3" s="3" t="n">
        <f aca="false">(G3+H3)*L3/(1 - L3)</f>
        <v>7.18723404255319</v>
      </c>
      <c r="N3" s="3" t="n">
        <f aca="false">(F3-M3)/F3</f>
        <v>0.596222806598135</v>
      </c>
      <c r="O3" s="3" t="n">
        <f aca="false">LN((H3/F3) +1)</f>
        <v>0.150935242973284</v>
      </c>
    </row>
    <row r="4" customFormat="false" ht="12.8" hidden="false" customHeight="false" outlineLevel="0" collapsed="false">
      <c r="A4" s="0" t="s">
        <v>20</v>
      </c>
      <c r="B4" s="0" t="s">
        <v>21</v>
      </c>
      <c r="C4" s="0" t="s">
        <v>18</v>
      </c>
      <c r="D4" s="0" t="s">
        <v>19</v>
      </c>
      <c r="E4" s="0" t="s">
        <v>18</v>
      </c>
      <c r="F4" s="0" t="n">
        <v>93.84</v>
      </c>
      <c r="G4" s="0" t="n">
        <v>494.5</v>
      </c>
      <c r="H4" s="0" t="n">
        <v>20.5</v>
      </c>
      <c r="J4" s="0" t="n">
        <v>370</v>
      </c>
      <c r="K4" s="0" t="n">
        <f aca="false">0.82*320</f>
        <v>262.4</v>
      </c>
      <c r="L4" s="0" t="n">
        <v>0.06</v>
      </c>
      <c r="M4" s="3" t="n">
        <f aca="false">(G4+H4)*L4/(1 - L4)</f>
        <v>32.8723404255319</v>
      </c>
      <c r="N4" s="3" t="n">
        <f aca="false">(F4-M4)/F4</f>
        <v>0.649697992055286</v>
      </c>
      <c r="O4" s="3" t="n">
        <f aca="false">LN((H4/F4) +1)</f>
        <v>0.197585261490605</v>
      </c>
    </row>
    <row r="5" customFormat="false" ht="12.8" hidden="false" customHeight="false" outlineLevel="0" collapsed="false">
      <c r="A5" s="0" t="s">
        <v>22</v>
      </c>
      <c r="B5" s="0" t="s">
        <v>23</v>
      </c>
      <c r="C5" s="0" t="s">
        <v>24</v>
      </c>
      <c r="D5" s="0" t="s">
        <v>19</v>
      </c>
      <c r="E5" s="0" t="s">
        <v>24</v>
      </c>
      <c r="F5" s="0" t="n">
        <v>46.2</v>
      </c>
      <c r="G5" s="0" t="n">
        <v>167.5</v>
      </c>
      <c r="H5" s="0" t="n">
        <v>4</v>
      </c>
      <c r="L5" s="0" t="n">
        <v>0.12</v>
      </c>
      <c r="M5" s="3" t="n">
        <f aca="false">(G5+H5)*L5/(1 - L5)</f>
        <v>23.3863636363636</v>
      </c>
      <c r="N5" s="3" t="n">
        <f aca="false">(F5-M5)/F5</f>
        <v>0.493801652892562</v>
      </c>
      <c r="O5" s="3" t="n">
        <f aca="false">LN((H5/F5) +1)</f>
        <v>0.0830352286099903</v>
      </c>
    </row>
    <row r="6" customFormat="false" ht="12.8" hidden="false" customHeight="false" outlineLevel="0" collapsed="false">
      <c r="M6" s="3"/>
      <c r="N6" s="3"/>
      <c r="O6" s="3"/>
    </row>
    <row r="7" customFormat="false" ht="12.8" hidden="false" customHeight="false" outlineLevel="0" collapsed="false">
      <c r="M7" s="3"/>
      <c r="N7" s="3"/>
      <c r="O7" s="3"/>
    </row>
    <row r="8" customFormat="false" ht="12.8" hidden="false" customHeight="false" outlineLevel="0" collapsed="false">
      <c r="A8" s="4" t="s">
        <v>25</v>
      </c>
    </row>
    <row r="9" customFormat="false" ht="46.45" hidden="false" customHeight="false" outlineLevel="0" collapsed="false">
      <c r="A9" s="2" t="s">
        <v>1</v>
      </c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  <c r="G9" s="2" t="s">
        <v>7</v>
      </c>
      <c r="H9" s="2" t="s">
        <v>8</v>
      </c>
      <c r="I9" s="2" t="s">
        <v>9</v>
      </c>
      <c r="J9" s="2" t="s">
        <v>10</v>
      </c>
      <c r="K9" s="2" t="s">
        <v>11</v>
      </c>
      <c r="L9" s="2" t="s">
        <v>12</v>
      </c>
      <c r="M9" s="2" t="s">
        <v>13</v>
      </c>
      <c r="N9" s="2" t="s">
        <v>14</v>
      </c>
      <c r="O9" s="2" t="s">
        <v>15</v>
      </c>
    </row>
    <row r="10" customFormat="false" ht="12.8" hidden="false" customHeight="false" outlineLevel="0" collapsed="false">
      <c r="A10" s="2" t="s">
        <v>26</v>
      </c>
      <c r="B10" s="2" t="s">
        <v>27</v>
      </c>
      <c r="C10" s="2" t="s">
        <v>18</v>
      </c>
      <c r="D10" s="2" t="s">
        <v>19</v>
      </c>
      <c r="E10" s="2" t="s">
        <v>18</v>
      </c>
      <c r="F10" s="2" t="n">
        <f aca="false">0.0004536*78610</f>
        <v>35.657496</v>
      </c>
      <c r="G10" s="2" t="n">
        <f aca="false">0.0004536*581890</f>
        <v>263.945304</v>
      </c>
      <c r="H10" s="2" t="n">
        <f aca="false">0.0004536*14040</f>
        <v>6.368544</v>
      </c>
      <c r="I10" s="2"/>
      <c r="J10" s="2" t="n">
        <v>600</v>
      </c>
      <c r="K10" s="2"/>
      <c r="L10" s="2" t="n">
        <v>0.06</v>
      </c>
      <c r="M10" s="3" t="n">
        <f aca="false">(G10+H10)*L10/(1 - L10)</f>
        <v>17.2540754042553</v>
      </c>
      <c r="N10" s="3" t="n">
        <f aca="false">(F10-M10)/F10</f>
        <v>0.516116459656749</v>
      </c>
      <c r="O10" s="3" t="n">
        <f aca="false">LN((H10/F10) +1)</f>
        <v>0.164330034925704</v>
      </c>
    </row>
    <row r="11" customFormat="false" ht="12.8" hidden="false" customHeight="false" outlineLevel="0" collapsed="false">
      <c r="A11" s="2" t="s">
        <v>28</v>
      </c>
      <c r="B11" s="2" t="s">
        <v>27</v>
      </c>
      <c r="C11" s="2" t="s">
        <v>18</v>
      </c>
      <c r="D11" s="2" t="s">
        <v>19</v>
      </c>
      <c r="E11" s="2" t="s">
        <v>18</v>
      </c>
      <c r="F11" s="2" t="n">
        <f aca="false">0.0004536*57983</f>
        <v>26.3010888</v>
      </c>
      <c r="G11" s="2" t="n">
        <f aca="false">0.0004536*417317</f>
        <v>189.2949912</v>
      </c>
      <c r="H11" s="2" t="n">
        <v>0</v>
      </c>
      <c r="I11" s="2"/>
      <c r="J11" s="2"/>
      <c r="K11" s="2"/>
      <c r="L11" s="2" t="n">
        <v>0.06</v>
      </c>
      <c r="M11" s="3" t="n">
        <f aca="false">(G11+H11)*L11/(1 - L11)</f>
        <v>12.082659012766</v>
      </c>
      <c r="N11" s="3" t="n">
        <f aca="false">(F11-M11)/F11</f>
        <v>0.540602326213736</v>
      </c>
      <c r="O11" s="3" t="n">
        <f aca="false">LN((H11/F11) +1)</f>
        <v>0</v>
      </c>
    </row>
    <row r="14" customFormat="false" ht="12.8" hidden="false" customHeight="false" outlineLevel="0" collapsed="false">
      <c r="A14" s="4" t="s">
        <v>29</v>
      </c>
    </row>
    <row r="15" customFormat="false" ht="35.2" hidden="false" customHeight="false" outlineLevel="0" collapsed="false">
      <c r="A15" s="0" t="s">
        <v>30</v>
      </c>
      <c r="B15" s="0" t="s">
        <v>2</v>
      </c>
      <c r="D15" s="2" t="s">
        <v>31</v>
      </c>
      <c r="E15" s="2" t="s">
        <v>32</v>
      </c>
      <c r="F15" s="2" t="s">
        <v>33</v>
      </c>
      <c r="G15" s="2" t="s">
        <v>34</v>
      </c>
      <c r="H15" s="2" t="s">
        <v>35</v>
      </c>
      <c r="I15" s="2" t="s">
        <v>36</v>
      </c>
      <c r="J15" s="2" t="s">
        <v>37</v>
      </c>
      <c r="K15" s="2" t="s">
        <v>38</v>
      </c>
      <c r="L15" s="2" t="s">
        <v>39</v>
      </c>
      <c r="M15" s="2" t="s">
        <v>40</v>
      </c>
    </row>
    <row r="16" customFormat="false" ht="12.8" hidden="false" customHeight="false" outlineLevel="0" collapsed="false">
      <c r="A16" s="0" t="s">
        <v>41</v>
      </c>
      <c r="B16" s="0" t="s">
        <v>42</v>
      </c>
      <c r="C16" s="0" t="s">
        <v>43</v>
      </c>
      <c r="D16" s="0" t="n">
        <f aca="false">109.3-10.8-27.2</f>
        <v>71.3</v>
      </c>
      <c r="E16" s="0" t="n">
        <v>6.7</v>
      </c>
      <c r="F16" s="0" t="n">
        <v>1.31</v>
      </c>
      <c r="G16" s="0" t="n">
        <v>5.69</v>
      </c>
      <c r="H16" s="0" t="n">
        <v>1</v>
      </c>
      <c r="I16" s="0" t="n">
        <v>1.04</v>
      </c>
      <c r="J16" s="0" t="n">
        <v>12.3</v>
      </c>
      <c r="K16" s="0" t="n">
        <v>0</v>
      </c>
    </row>
    <row r="17" customFormat="false" ht="12.8" hidden="false" customHeight="false" outlineLevel="0" collapsed="false">
      <c r="C17" s="0" t="s">
        <v>44</v>
      </c>
      <c r="D17" s="3" t="n">
        <f aca="false">D16/$D16</f>
        <v>1</v>
      </c>
      <c r="E17" s="3" t="n">
        <f aca="false">E16/$D16</f>
        <v>0.0939691444600281</v>
      </c>
      <c r="F17" s="3" t="n">
        <f aca="false">F16/$D16</f>
        <v>0.0183730715287518</v>
      </c>
      <c r="G17" s="3" t="n">
        <f aca="false">G16/$D16</f>
        <v>0.0798036465638149</v>
      </c>
      <c r="H17" s="3" t="n">
        <f aca="false">H16/$D16</f>
        <v>0.0140252454417952</v>
      </c>
      <c r="I17" s="3" t="n">
        <f aca="false">I16/$D16</f>
        <v>0.014586255259467</v>
      </c>
      <c r="J17" s="3" t="n">
        <f aca="false">J16/$D16</f>
        <v>0.172510518934081</v>
      </c>
      <c r="K17" s="3" t="n">
        <f aca="false">K16/$D16</f>
        <v>0</v>
      </c>
      <c r="L17" s="3" t="n">
        <f aca="false">SUM(E17:J17)</f>
        <v>0.393267882187938</v>
      </c>
    </row>
    <row r="19" customFormat="false" ht="12.8" hidden="false" customHeight="false" outlineLevel="0" collapsed="false">
      <c r="A19" s="0" t="s">
        <v>45</v>
      </c>
      <c r="B19" s="0" t="s">
        <v>42</v>
      </c>
      <c r="C19" s="0" t="s">
        <v>43</v>
      </c>
      <c r="D19" s="0" t="n">
        <f aca="false">97.456-31.71-5.2</f>
        <v>60.546</v>
      </c>
      <c r="E19" s="0" t="n">
        <v>15.56</v>
      </c>
      <c r="F19" s="0" t="n">
        <v>2.676</v>
      </c>
      <c r="G19" s="0" t="n">
        <v>4.954</v>
      </c>
      <c r="H19" s="0" t="n">
        <v>1.654</v>
      </c>
      <c r="I19" s="0" t="n">
        <v>1.22</v>
      </c>
      <c r="J19" s="0" t="n">
        <v>0</v>
      </c>
      <c r="K19" s="0" t="n">
        <v>11.421</v>
      </c>
    </row>
    <row r="20" customFormat="false" ht="12.8" hidden="false" customHeight="false" outlineLevel="0" collapsed="false">
      <c r="C20" s="0" t="s">
        <v>44</v>
      </c>
      <c r="D20" s="3" t="n">
        <f aca="false">D19/$D19</f>
        <v>1</v>
      </c>
      <c r="E20" s="3" t="n">
        <f aca="false">E19/$D19</f>
        <v>0.256994681729594</v>
      </c>
      <c r="F20" s="3" t="n">
        <f aca="false">F19/$D19</f>
        <v>0.0441978000198196</v>
      </c>
      <c r="G20" s="3" t="n">
        <f aca="false">G19/$D19</f>
        <v>0.0818220856869157</v>
      </c>
      <c r="H20" s="3" t="n">
        <f aca="false">H19/$D19</f>
        <v>0.0273180722095597</v>
      </c>
      <c r="I20" s="3" t="n">
        <f aca="false">I19/$D19</f>
        <v>0.0201499686189013</v>
      </c>
      <c r="J20" s="3" t="n">
        <f aca="false">J19/$D19</f>
        <v>0</v>
      </c>
      <c r="K20" s="3" t="n">
        <f aca="false">K19/$D19</f>
        <v>0.188633435734813</v>
      </c>
      <c r="L20" s="3" t="n">
        <f aca="false">SUM(E20:J20)</f>
        <v>0.43048260826479</v>
      </c>
      <c r="M20" s="3" t="n">
        <f aca="false">L20+K20</f>
        <v>0.619116043999604</v>
      </c>
    </row>
    <row r="22" customFormat="false" ht="12.8" hidden="false" customHeight="false" outlineLevel="0" collapsed="false">
      <c r="A22" s="0" t="s">
        <v>46</v>
      </c>
      <c r="B22" s="0" t="s">
        <v>47</v>
      </c>
      <c r="C22" s="0" t="s">
        <v>43</v>
      </c>
      <c r="D22" s="3" t="n">
        <f aca="false">0.0004536*45508</f>
        <v>20.6424288</v>
      </c>
      <c r="E22" s="5" t="n">
        <f aca="false">0.0004536*10810</f>
        <v>4.903416</v>
      </c>
      <c r="F22" s="5" t="n">
        <f aca="false">0.0004536*1402</f>
        <v>0.6359472</v>
      </c>
      <c r="G22" s="5" t="n">
        <f aca="false">0.0004536*3113</f>
        <v>1.4120568</v>
      </c>
      <c r="H22" s="5" t="n">
        <f aca="false">0.0004536*1294</f>
        <v>0.5869584</v>
      </c>
      <c r="I22" s="5" t="n">
        <f aca="false">0.0004536*683</f>
        <v>0.3098088</v>
      </c>
      <c r="J22" s="3" t="n">
        <v>0</v>
      </c>
      <c r="K22" s="5" t="n">
        <f aca="false">0.0004536*10204</f>
        <v>4.6285344</v>
      </c>
    </row>
    <row r="23" customFormat="false" ht="12.8" hidden="false" customHeight="false" outlineLevel="0" collapsed="false">
      <c r="C23" s="0" t="s">
        <v>44</v>
      </c>
      <c r="D23" s="3" t="n">
        <f aca="false">D22/$D22</f>
        <v>1</v>
      </c>
      <c r="E23" s="3" t="n">
        <f aca="false">E22/$D22</f>
        <v>0.237540652193021</v>
      </c>
      <c r="F23" s="3" t="n">
        <f aca="false">F22/$D22</f>
        <v>0.0308077700624066</v>
      </c>
      <c r="G23" s="3" t="n">
        <f aca="false">G22/$D22</f>
        <v>0.0684055550672409</v>
      </c>
      <c r="H23" s="3" t="n">
        <f aca="false">H22/$D22</f>
        <v>0.0284345609563154</v>
      </c>
      <c r="I23" s="3" t="n">
        <f aca="false">I22/$D22</f>
        <v>0.0150083501801881</v>
      </c>
      <c r="J23" s="3" t="n">
        <f aca="false">J22/$D22</f>
        <v>0</v>
      </c>
      <c r="K23" s="3" t="n">
        <f aca="false">K22/$D22</f>
        <v>0.224224312208842</v>
      </c>
      <c r="L23" s="3" t="n">
        <f aca="false">SUM(E23:J23)</f>
        <v>0.380196888459172</v>
      </c>
      <c r="M23" s="3" t="n">
        <f aca="false">L23+K23</f>
        <v>0.604421200668014</v>
      </c>
    </row>
    <row r="25" customFormat="false" ht="12.8" hidden="false" customHeight="false" outlineLevel="0" collapsed="false">
      <c r="A25" s="0" t="s">
        <v>48</v>
      </c>
      <c r="B25" s="0" t="s">
        <v>47</v>
      </c>
      <c r="C25" s="0" t="s">
        <v>43</v>
      </c>
      <c r="D25" s="5" t="n">
        <f aca="false">0.0004536*236032</f>
        <v>107.0641152</v>
      </c>
      <c r="E25" s="5" t="n">
        <f aca="false">0.0004536*60038</f>
        <v>27.2332368</v>
      </c>
      <c r="F25" s="5" t="n">
        <f aca="false">0.0004536*5158</f>
        <v>2.3396688</v>
      </c>
      <c r="G25" s="5" t="n">
        <f aca="false">0.0004536*18605</f>
        <v>8.439228</v>
      </c>
      <c r="H25" s="5" t="n">
        <f aca="false">0.0004536*4836</f>
        <v>2.1936096</v>
      </c>
      <c r="I25" s="5" t="n">
        <f aca="false">0.0004536*3750</f>
        <v>1.701</v>
      </c>
      <c r="J25" s="3" t="n">
        <v>0</v>
      </c>
      <c r="K25" s="5" t="n">
        <f aca="false">0.0004536*35471</f>
        <v>16.0896456</v>
      </c>
    </row>
    <row r="26" customFormat="false" ht="12.8" hidden="false" customHeight="false" outlineLevel="0" collapsed="false">
      <c r="C26" s="0" t="s">
        <v>44</v>
      </c>
      <c r="D26" s="3" t="n">
        <f aca="false">D25/$D25</f>
        <v>1</v>
      </c>
      <c r="E26" s="3" t="n">
        <f aca="false">E25/$D25</f>
        <v>0.254363815075922</v>
      </c>
      <c r="F26" s="3" t="n">
        <f aca="false">F25/$D25</f>
        <v>0.0218529690889371</v>
      </c>
      <c r="G26" s="3" t="n">
        <f aca="false">G25/$D25</f>
        <v>0.0788240577548807</v>
      </c>
      <c r="H26" s="3" t="n">
        <f aca="false">H25/$D25</f>
        <v>0.0204887472885033</v>
      </c>
      <c r="I26" s="3" t="n">
        <f aca="false">I25/$D25</f>
        <v>0.0158876762472885</v>
      </c>
      <c r="J26" s="3" t="n">
        <f aca="false">J25/$D25</f>
        <v>0</v>
      </c>
      <c r="K26" s="3" t="n">
        <f aca="false">K25/$D25</f>
        <v>0.150280470444685</v>
      </c>
      <c r="L26" s="3" t="n">
        <f aca="false">SUM(E26:J26)</f>
        <v>0.391417265455531</v>
      </c>
      <c r="M26" s="3" t="n">
        <f aca="false">L26+K26</f>
        <v>0.541697735900217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28.0765306122449"/>
    <col collapsed="false" hidden="false" max="2" min="2" style="0" width="12.5561224489796"/>
  </cols>
  <sheetData>
    <row r="1" customFormat="false" ht="12.8" hidden="false" customHeight="false" outlineLevel="0" collapsed="false">
      <c r="A1" s="0" t="s">
        <v>49</v>
      </c>
      <c r="B1" s="0" t="s">
        <v>50</v>
      </c>
      <c r="C1" s="0" t="s">
        <v>51</v>
      </c>
      <c r="D1" s="0" t="s">
        <v>52</v>
      </c>
      <c r="E1" s="0" t="s">
        <v>53</v>
      </c>
      <c r="F1" s="0" t="s">
        <v>54</v>
      </c>
    </row>
    <row r="2" customFormat="false" ht="12.8" hidden="false" customHeight="false" outlineLevel="0" collapsed="false">
      <c r="A2" s="0" t="s">
        <v>16</v>
      </c>
      <c r="B2" s="0" t="s">
        <v>55</v>
      </c>
      <c r="C2" s="0" t="s">
        <v>18</v>
      </c>
      <c r="E2" s="3" t="n">
        <f aca="false">Sheet1!N3</f>
        <v>0.596222806598135</v>
      </c>
      <c r="F2" s="3" t="n">
        <f aca="false">Sheet1!O3</f>
        <v>0.150935242973284</v>
      </c>
    </row>
    <row r="3" customFormat="false" ht="12.8" hidden="false" customHeight="false" outlineLevel="0" collapsed="false">
      <c r="A3" s="0" t="s">
        <v>20</v>
      </c>
      <c r="B3" s="0" t="s">
        <v>55</v>
      </c>
      <c r="C3" s="0" t="s">
        <v>18</v>
      </c>
      <c r="E3" s="3" t="n">
        <f aca="false">Sheet1!N4</f>
        <v>0.649697992055286</v>
      </c>
      <c r="F3" s="3" t="n">
        <f aca="false">Sheet1!O4</f>
        <v>0.197585261490605</v>
      </c>
    </row>
    <row r="4" customFormat="false" ht="12.8" hidden="false" customHeight="false" outlineLevel="0" collapsed="false">
      <c r="A4" s="0" t="s">
        <v>22</v>
      </c>
      <c r="B4" s="0" t="s">
        <v>55</v>
      </c>
      <c r="C4" s="0" t="s">
        <v>24</v>
      </c>
      <c r="E4" s="3" t="n">
        <f aca="false">Sheet1!N5</f>
        <v>0.493801652892562</v>
      </c>
      <c r="F4" s="3" t="n">
        <f aca="false">Sheet1!O5</f>
        <v>0.0830352286099903</v>
      </c>
    </row>
    <row r="5" customFormat="false" ht="12.8" hidden="false" customHeight="false" outlineLevel="0" collapsed="false">
      <c r="A5" s="0" t="s">
        <v>56</v>
      </c>
      <c r="B5" s="0" t="s">
        <v>57</v>
      </c>
      <c r="C5" s="0" t="s">
        <v>18</v>
      </c>
      <c r="D5" s="3" t="n">
        <f aca="false">Sheet1!N11</f>
        <v>0.540602326213736</v>
      </c>
      <c r="E5" s="3" t="n">
        <f aca="false">Sheet1!N10</f>
        <v>0.516116459656749</v>
      </c>
      <c r="F5" s="3" t="n">
        <f aca="false">Sheet1!O10</f>
        <v>0.164330034925704</v>
      </c>
    </row>
    <row r="6" customFormat="false" ht="12.8" hidden="false" customHeight="false" outlineLevel="0" collapsed="false">
      <c r="A6" s="0" t="s">
        <v>41</v>
      </c>
      <c r="B6" s="0" t="s">
        <v>58</v>
      </c>
      <c r="D6" s="3" t="n">
        <f aca="false">Sheet1!L17</f>
        <v>0.393267882187938</v>
      </c>
      <c r="E6" s="3"/>
    </row>
    <row r="7" customFormat="false" ht="12.8" hidden="false" customHeight="false" outlineLevel="0" collapsed="false">
      <c r="A7" s="0" t="s">
        <v>45</v>
      </c>
      <c r="B7" s="0" t="s">
        <v>58</v>
      </c>
      <c r="D7" s="3" t="n">
        <f aca="false">Sheet1!L20</f>
        <v>0.43048260826479</v>
      </c>
      <c r="E7" s="3" t="n">
        <f aca="false">Sheet1!M20</f>
        <v>0.619116043999604</v>
      </c>
    </row>
    <row r="8" customFormat="false" ht="12.8" hidden="false" customHeight="false" outlineLevel="0" collapsed="false">
      <c r="A8" s="0" t="s">
        <v>46</v>
      </c>
      <c r="B8" s="0" t="s">
        <v>58</v>
      </c>
      <c r="D8" s="3" t="n">
        <f aca="false">Sheet1!L23</f>
        <v>0.380196888459172</v>
      </c>
      <c r="E8" s="3" t="n">
        <f aca="false">Sheet1!M23</f>
        <v>0.604421200668014</v>
      </c>
    </row>
    <row r="9" customFormat="false" ht="12.8" hidden="false" customHeight="false" outlineLevel="0" collapsed="false">
      <c r="A9" s="0" t="s">
        <v>48</v>
      </c>
      <c r="B9" s="0" t="s">
        <v>58</v>
      </c>
      <c r="D9" s="3" t="n">
        <f aca="false">Sheet1!L26</f>
        <v>0.391417265455531</v>
      </c>
      <c r="E9" s="3" t="n">
        <f aca="false">Sheet1!M26</f>
        <v>0.541697735900217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2018-08-07T17:34:12Z</dcterms:created>
  <dc:creator/>
  <dc:description/>
  <dc:language>en-US</dc:language>
  <cp:lastModifiedBy/>
  <dcterms:modified xsi:type="dcterms:W3CDTF">2018-08-17T13:31:40Z</dcterms:modified>
  <cp:revision>36</cp:revision>
  <dc:subject/>
  <dc:title/>
</cp:coreProperties>
</file>